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tabRatio="877" activeTab="1"/>
  </bookViews>
  <sheets>
    <sheet name="Тарифы прил. 2" sheetId="1" r:id="rId1"/>
    <sheet name="Накладные расходы прил 3" sheetId="2" r:id="rId2"/>
    <sheet name="Лист1" sheetId="3" state="hidden" r:id="rId3"/>
    <sheet name="Лист1 (2)" sheetId="4" state="hidden" r:id="rId4"/>
    <sheet name=" дискотека прил. 4" sheetId="5" r:id="rId5"/>
    <sheet name="1.2 концерт прил. 5" sheetId="6" r:id="rId6"/>
    <sheet name="2.1 оркестры ансамбли прил. 6" sheetId="7" r:id="rId7"/>
    <sheet name="2.2 Ведущий прил. 7" sheetId="8" r:id="rId8"/>
    <sheet name="4.2 Сценарии прил. 8" sheetId="9" r:id="rId9"/>
    <sheet name="5 прокат прил. 9" sheetId="10" r:id="rId10"/>
    <sheet name="7 Ярмарки прил. 10" sheetId="11" r:id="rId11"/>
    <sheet name="8.1 Б.зал 1 прил. 11" sheetId="12" r:id="rId12"/>
    <sheet name="8.2 М.зал прил. 12 " sheetId="13" r:id="rId13"/>
    <sheet name="8.3 Фойе прил. 13" sheetId="14" r:id="rId14"/>
    <sheet name="9 Кино прил. 14" sheetId="15" r:id="rId15"/>
    <sheet name="Расчет амортизации прил. 15" sheetId="16" r:id="rId16"/>
    <sheet name=" дискотека прил. 16" sheetId="17" r:id="rId17"/>
  </sheets>
  <definedNames>
    <definedName name="_xlnm.Print_Area" localSheetId="16">' дискотека прил. 16'!$A$1:$D$29</definedName>
    <definedName name="_xlnm.Print_Area" localSheetId="4">' дискотека прил. 4'!$A$1:$D$31</definedName>
    <definedName name="_xlnm.Print_Area" localSheetId="5">'1.2 концерт прил. 5'!$A$1:$D$36</definedName>
    <definedName name="_xlnm.Print_Area" localSheetId="6">'2.1 оркестры ансамбли прил. 6'!$A$1:$F$33</definedName>
    <definedName name="_xlnm.Print_Area" localSheetId="7">'2.2 Ведущий прил. 7'!$A$1:$E$26</definedName>
    <definedName name="_xlnm.Print_Area" localSheetId="8">'4.2 Сценарии прил. 8'!$A$1:$D$25</definedName>
    <definedName name="_xlnm.Print_Area" localSheetId="9">'5 прокат прил. 9'!$A$1:$G$50</definedName>
    <definedName name="_xlnm.Print_Area" localSheetId="10">'7 Ярмарки прил. 10'!$A$1:$E$27</definedName>
    <definedName name="_xlnm.Print_Area" localSheetId="11">'8.1 Б.зал 1 прил. 11'!$A$1:$D$31</definedName>
    <definedName name="_xlnm.Print_Area" localSheetId="12">'8.2 М.зал прил. 12 '!$A$1:$D$28</definedName>
    <definedName name="_xlnm.Print_Area" localSheetId="13">'8.3 Фойе прил. 13'!$A$1:$D$24</definedName>
    <definedName name="_xlnm.Print_Area" localSheetId="14">'9 Кино прил. 14'!$A$1:$E$31</definedName>
    <definedName name="_xlnm.Print_Area" localSheetId="1">'Накладные расходы прил 3'!$A$1:$G$23</definedName>
    <definedName name="_xlnm.Print_Area" localSheetId="15">'Расчет амортизации прил. 15'!$A$1:$CM$52</definedName>
    <definedName name="_xlnm.Print_Area" localSheetId="0">'Тарифы прил. 2'!$A$1:$D$31</definedName>
  </definedNames>
  <calcPr fullCalcOnLoad="1"/>
</workbook>
</file>

<file path=xl/comments16.xml><?xml version="1.0" encoding="utf-8"?>
<comments xmlns="http://schemas.openxmlformats.org/spreadsheetml/2006/main">
  <authors>
    <author>User</author>
    <author>Admin</author>
  </authors>
  <commentList>
    <comment ref="S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учебный план 36 часов в месяц
</t>
        </r>
      </text>
    </comment>
    <comment ref="R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учебный план 226 часов в год
</t>
        </r>
      </text>
    </comment>
    <comment ref="D9" authorId="1">
      <text>
        <r>
          <rPr>
            <b/>
            <sz val="8"/>
            <rFont val="Tahoma"/>
            <family val="0"/>
          </rPr>
          <t xml:space="preserve">39 недель с сентября по май в году * 1 день работы о/с * 1 час
</t>
        </r>
      </text>
    </comment>
  </commentList>
</comments>
</file>

<file path=xl/sharedStrings.xml><?xml version="1.0" encoding="utf-8"?>
<sst xmlns="http://schemas.openxmlformats.org/spreadsheetml/2006/main" count="736" uniqueCount="260">
  <si>
    <t>№</t>
  </si>
  <si>
    <t>Наименование  расходов</t>
  </si>
  <si>
    <t>Рабочий  день  (руб.)</t>
  </si>
  <si>
    <t>Заработная  плата</t>
  </si>
  <si>
    <t>Материальные  затраты</t>
  </si>
  <si>
    <t>Прямые  затраты</t>
  </si>
  <si>
    <t>Итого</t>
  </si>
  <si>
    <t>Рентабельность  20%</t>
  </si>
  <si>
    <t>ВСЕГО</t>
  </si>
  <si>
    <t xml:space="preserve"> </t>
  </si>
  <si>
    <t>Единица  измерения</t>
  </si>
  <si>
    <t>КАЛЬКУЛЯЦИЯ</t>
  </si>
  <si>
    <t xml:space="preserve">Начисления  на  выплаты  по  оплате  труда  </t>
  </si>
  <si>
    <t>Расчет</t>
  </si>
  <si>
    <t xml:space="preserve">Накладные  расходы  </t>
  </si>
  <si>
    <t>Оплата  труда  гражданских  служащих</t>
  </si>
  <si>
    <t>Прочие  выплаты</t>
  </si>
  <si>
    <t>Начисления  на  оплату  труда</t>
  </si>
  <si>
    <t>Услуги  связи</t>
  </si>
  <si>
    <t>Транспортные  услуги</t>
  </si>
  <si>
    <t>Услуги  по  содержанию  имущества</t>
  </si>
  <si>
    <t>Прочие  услуги</t>
  </si>
  <si>
    <t>Статья  экон.  классификации</t>
  </si>
  <si>
    <t>Тарифы</t>
  </si>
  <si>
    <t>Наименование  услуг</t>
  </si>
  <si>
    <t>Хореографический  ансамбль  народного  танца  "Радуга"</t>
  </si>
  <si>
    <t>Хореографический  ансамбль  народного  танца  "Узоры  Самотлора"</t>
  </si>
  <si>
    <t>Студия  восточного  танца  "Луксор"</t>
  </si>
  <si>
    <t>Студия  бального  танца</t>
  </si>
  <si>
    <t>Народный  самодеятельный  коллектив  группа  "Спринг"</t>
  </si>
  <si>
    <t>Народный  самодеятельный  коллектив  группа  "Бенефис"</t>
  </si>
  <si>
    <t>Хореографический  ансамбль  "Грация"</t>
  </si>
  <si>
    <t>Национальный  ансамбль  песни  и  танца</t>
  </si>
  <si>
    <t>Фольклорный  Хантыйский  театр  "ТОР-НАЙ"</t>
  </si>
  <si>
    <t>Чечено-Ингушский  хореографический  ансамбль  "Вайнах"</t>
  </si>
  <si>
    <t>Татаро-Башкирский  ансамбль  "Шатлык"</t>
  </si>
  <si>
    <t>Услуги по обслуживанию  и  проведению  мероприятий  (концертов,  цирков,  конкурсов,  спектаклей) в  большом  зале</t>
  </si>
  <si>
    <t>Услуги по обслуживанию  и  проведению  мероприятий  (лекций,  семинаров,  конференций,  собраний,  совещаний  и  прочих  мероприятий) в  большом  зале</t>
  </si>
  <si>
    <t>Услуги по обслуживанию  и  проведению  мероприятий  (лекций,  семинаров,  конференций,  собраний,  совещаний  и  прочих  мероприятий) в  малом  зале</t>
  </si>
  <si>
    <t>Услуги по обслуживанию  гримерных  комнат</t>
  </si>
  <si>
    <t>Услуги по обслуживанию  и  проведению  мероприятий  в  фойе</t>
  </si>
  <si>
    <t>Услуги  по  написанию  сценария  культурно-массового  мероприятия</t>
  </si>
  <si>
    <t>Танцевально-развлекательная  программа  "Дискотека"</t>
  </si>
  <si>
    <t>Услуги  по  прокату  костюмов</t>
  </si>
  <si>
    <t>Услуги  по  прокату  ростовой  куклы</t>
  </si>
  <si>
    <t>Услуги  режиссерско-постановочной  работы  культурно-массового  мероприятия</t>
  </si>
  <si>
    <t>Услуги  по  проведению  лазерного  шоу</t>
  </si>
  <si>
    <t>Услуги  по  обслуживанию  и  проведению  мероприятий  в  кафе</t>
  </si>
  <si>
    <t>Сумма  (руб.)</t>
  </si>
  <si>
    <t xml:space="preserve">Рентабельность  </t>
  </si>
  <si>
    <t xml:space="preserve">Накладные  расходы </t>
  </si>
  <si>
    <t xml:space="preserve">Расходные  материалы </t>
  </si>
  <si>
    <t>Оформление  аэродизайн</t>
  </si>
  <si>
    <t>Приобретение  дымообразующего  средства</t>
  </si>
  <si>
    <t>Диски</t>
  </si>
  <si>
    <t>Украинский  фольклорный  ансамбль  "Вэсэлка"</t>
  </si>
  <si>
    <t>Детский  вокальный  ансамбль  "Кампанелла"</t>
  </si>
  <si>
    <t>Ансамбль  современной  хореографии  "Вертикаль"</t>
  </si>
  <si>
    <t>Услуги ведущего  культурно-массового  мероприятия</t>
  </si>
  <si>
    <t>Хореографический  ансамбль  народного  танца  "Радуга" (обучение  детей)</t>
  </si>
  <si>
    <t>Хореографический  ансамбль  народного  танца  "Узоры  Самотлора" (обучение  детей)</t>
  </si>
  <si>
    <t>Студия  восточного  танца  "Луксор" (обучение  детей)</t>
  </si>
  <si>
    <t>Стоимость 1  концерта</t>
  </si>
  <si>
    <t>Судия "Фортепиано"</t>
  </si>
  <si>
    <t>Студия декоративно-прикладного искусства "Развивай-ка"</t>
  </si>
  <si>
    <t>Студия современного танца "Брейк-данс"</t>
  </si>
  <si>
    <t>Студия  бального  танца  (обучение  детей)</t>
  </si>
  <si>
    <t>Детская  вокальная эстрадная  студия</t>
  </si>
  <si>
    <t xml:space="preserve">                                                  </t>
  </si>
  <si>
    <t>Коммунальные  услуги</t>
  </si>
  <si>
    <t>Итого  расходов</t>
  </si>
  <si>
    <t>Прочие  расходы</t>
  </si>
  <si>
    <t>Прочие  расходные  материалы  и  предметы  снабжения</t>
  </si>
  <si>
    <t xml:space="preserve">Неучтенные  расходы </t>
  </si>
  <si>
    <t>Прямые</t>
  </si>
  <si>
    <t>Накладные</t>
  </si>
  <si>
    <t>Материальные затраты</t>
  </si>
  <si>
    <t>Концертная  деятельность  творческих  коллективов</t>
  </si>
  <si>
    <t>Культурно-массовые  досуговые  мероприятия</t>
  </si>
  <si>
    <t>Расходные  материалы</t>
  </si>
  <si>
    <t>Основные средства</t>
  </si>
  <si>
    <t>Прямые  затраты  (Художественный руководитель, методисты, киновидеобслуживание)</t>
  </si>
  <si>
    <t>Накладные  расходы  (Руководители 1 уровня; Служащие 1,2 уровней, Рабочие)</t>
  </si>
  <si>
    <t>сумма  зарплаты с начислениями   1778,54</t>
  </si>
  <si>
    <t>Художественный руководитель</t>
  </si>
  <si>
    <t>Методист</t>
  </si>
  <si>
    <t>Киномеханик 5 разряд</t>
  </si>
  <si>
    <t>Кассир-контролер</t>
  </si>
  <si>
    <t>затраты  на  содержание 3336,77</t>
  </si>
  <si>
    <t>Всего тыс.руб.</t>
  </si>
  <si>
    <t xml:space="preserve">Коэффициент накладных  расходов = </t>
  </si>
  <si>
    <t>стоимости  организации и проведения вечеров отдыха, танцевальных и других вечеров, праздников, втреч, гражданских и семейных обрядов, литературно-музыкальных гостинных, балов, дискотек</t>
  </si>
  <si>
    <t>стоимости  билетов  на  концерты, спектакли и другие культурно-досуговые мероприятия, в том числе по заявкам организаций, предприятий и отдельных граждан</t>
  </si>
  <si>
    <t>суммы начисленной  амортизации  оборудования</t>
  </si>
  <si>
    <t xml:space="preserve">Организация  и  проведение  мероприятия  в  малом  зале  </t>
  </si>
  <si>
    <t xml:space="preserve">Раннее  эстетическое  развитие  -  общеразвивающее  направление   </t>
  </si>
  <si>
    <t xml:space="preserve">Раннее  эстетическое  развитие  -  художественное  направление   </t>
  </si>
  <si>
    <t xml:space="preserve">Раннее  эстетическое  развитие  -  хореографическое  направление   </t>
  </si>
  <si>
    <t xml:space="preserve">Раннее  эстетическое  развитие  -  музыкальное  направление   </t>
  </si>
  <si>
    <t xml:space="preserve">Общеэстетическое  развитие  -  художественное  направление   </t>
  </si>
  <si>
    <t xml:space="preserve">Общеэстетическое  развитие  -  хореографическое  направление   </t>
  </si>
  <si>
    <t xml:space="preserve">Общеэстетическое  развитие  -  музыкальное  направление   </t>
  </si>
  <si>
    <t>Общеэстетическое  развитие  -  художественное  направление  (от 16 лет)</t>
  </si>
  <si>
    <t>Общеэстетическое  развитие  -  хореографическое  направление (от 16 лет)</t>
  </si>
  <si>
    <t xml:space="preserve">Ранняя  профессиональная ориентация  -  художественное  направление  </t>
  </si>
  <si>
    <t xml:space="preserve">Ранняя  профессиональная ориентация  -  хореографическое  направление  </t>
  </si>
  <si>
    <t>(наименование  платной  услуги)</t>
  </si>
  <si>
    <t>Наименование  оборудования</t>
  </si>
  <si>
    <t>Балансовая  стоимость  (руб.)</t>
  </si>
  <si>
    <t>Годовая  норма  износа  (%)</t>
  </si>
  <si>
    <t>Годовая  норма  времени  работы  оборудования  (час.)</t>
  </si>
  <si>
    <t>Время  работы  оборудования  в  процессе  оказания  платной  услуги  (час.)</t>
  </si>
  <si>
    <t>Сумма  начисленной  амортизации  (руб.)  (гр.2 * гр.3 / гр.4 * гр.5)</t>
  </si>
  <si>
    <t>Время  работы  оборудования  в  процессе  оказания  платной  услуги в месяц (час.)</t>
  </si>
  <si>
    <t>Вешалка  напольная  4 шт.</t>
  </si>
  <si>
    <t xml:space="preserve">Вешалка  напольная  </t>
  </si>
  <si>
    <t>Микрофон универсальный 2 шт.</t>
  </si>
  <si>
    <t>Доска школьная</t>
  </si>
  <si>
    <t>Мультимедийный проектор</t>
  </si>
  <si>
    <t>Пианино</t>
  </si>
  <si>
    <t>Стул  50 шт.</t>
  </si>
  <si>
    <t>Учебно-игровой музыкальный компьютер "Школа музыки"</t>
  </si>
  <si>
    <t>Экран</t>
  </si>
  <si>
    <t xml:space="preserve">Стол </t>
  </si>
  <si>
    <t xml:space="preserve">Итого </t>
  </si>
  <si>
    <t xml:space="preserve">Стул </t>
  </si>
  <si>
    <t>суммы начисленной  амортизации сценических костюмов, культурного и другого инвентаря, аудио- и видеокасет с записями отечественных и зарубежных музыкальных и художественных произведений, звукоусилительной и осветительной аппаратуры и другого профильного оборудования</t>
  </si>
  <si>
    <t>прокат</t>
  </si>
  <si>
    <t>Костюм "Снегурочка"</t>
  </si>
  <si>
    <t>Костюм Королева Змея</t>
  </si>
  <si>
    <t>Колонки JBL JRX 125 акустическая система</t>
  </si>
  <si>
    <t>Сабвуфер 15 ALTO ELVIS15S</t>
  </si>
  <si>
    <t xml:space="preserve">Микрофон студийный </t>
  </si>
  <si>
    <t>Ручной радиомикрофон</t>
  </si>
  <si>
    <t>Микшер Behringer</t>
  </si>
  <si>
    <t>гитара элекроакустическая</t>
  </si>
  <si>
    <t>набор начинающего гитариста</t>
  </si>
  <si>
    <t>барабанная установка</t>
  </si>
  <si>
    <t>компактный малошумящий пульт</t>
  </si>
  <si>
    <t>акустическая система</t>
  </si>
  <si>
    <t>бас-гитара</t>
  </si>
  <si>
    <t>Видеопроектор</t>
  </si>
  <si>
    <t>Генератор дыма</t>
  </si>
  <si>
    <t>Двухантенная вокальная радиостанция</t>
  </si>
  <si>
    <t>Микшер со встроенным процессором эффектов</t>
  </si>
  <si>
    <t>Микшер пульт</t>
  </si>
  <si>
    <t>Многолучевой эффект, Вращение лучей</t>
  </si>
  <si>
    <t>Многолучевой пучок с вращателем</t>
  </si>
  <si>
    <t>Многолучевой эффект 14 цветов</t>
  </si>
  <si>
    <t>Музыкальная раб. станция 61 клавиша</t>
  </si>
  <si>
    <t>Пианино "Рубинштейн"</t>
  </si>
  <si>
    <t>Прожектор для смены цвета</t>
  </si>
  <si>
    <t>Проигрыватель компакт дисков, рэк</t>
  </si>
  <si>
    <t>Проигрыватель DVD LG DK-673X</t>
  </si>
  <si>
    <t>Экран 180дм</t>
  </si>
  <si>
    <t>Акустическая система Behrier B215D</t>
  </si>
  <si>
    <t>Колонки PIONEER S-DJ05 двухполосные активные</t>
  </si>
  <si>
    <t>музыкальный центр LG</t>
  </si>
  <si>
    <t>Гармонь</t>
  </si>
  <si>
    <t>Доска классная раздвижная</t>
  </si>
  <si>
    <t>Кино-экран</t>
  </si>
  <si>
    <t>стол бильярдный</t>
  </si>
  <si>
    <t>годовая  норма  износа  (%)</t>
  </si>
  <si>
    <t>стоимости  работы отдельных исполнителей для семейных и гражданских праздников и торжеств</t>
  </si>
  <si>
    <t>стоимости  части помещения при сдаче в аренду для организаций питания и отдыха посетителей, в соответствии с действующим законодательством</t>
  </si>
  <si>
    <t>стоимости  проката  сценических костюов, культурного и другого инвентаря, аудио-видеокассет  с записями отечественных и зарубежных музыкальных и художественных произведений, звукоусилительной и осветительной аппаратуры и другого профильного оборудования</t>
  </si>
  <si>
    <t>Накладные расходы 1,88</t>
  </si>
  <si>
    <t>Рентабельность 20%</t>
  </si>
  <si>
    <t>Сумма амортизации  (руб.)</t>
  </si>
  <si>
    <t>Расходные материалы</t>
  </si>
  <si>
    <t>большой  зал (рабочий день 4 часа)</t>
  </si>
  <si>
    <t>ВСЕГО 4 часа</t>
  </si>
  <si>
    <t>ВСЕГО 1 час</t>
  </si>
  <si>
    <t>Стоимость 1  мероприятия  в  рабочий  день  продолжительностью  1  час  =  900 руб</t>
  </si>
  <si>
    <t>малый  зал  (рабочий день 4 часа)</t>
  </si>
  <si>
    <t>Стоимость 1  мероприятия  в  рабочий  день  продолжительностью  1  час  =  400</t>
  </si>
  <si>
    <t>Начисленная аммортизация оборудования</t>
  </si>
  <si>
    <t>стоимости  предоставления оркестров, ансамблей, самодеятельных художественных коллективов</t>
  </si>
  <si>
    <t>стоимости  организации и проведение ярмарок, выставок-продаж</t>
  </si>
  <si>
    <t>Плановое  посещение  100  человек</t>
  </si>
  <si>
    <t>фойе  (рабочий день 4 часа)</t>
  </si>
  <si>
    <t xml:space="preserve">Стоимость  в рабочий  день  </t>
  </si>
  <si>
    <t>Публичный видео- кинопоказ</t>
  </si>
  <si>
    <t>Изготовление репертуарно-методических материалов</t>
  </si>
  <si>
    <t>Стоимость 1  выступления  1 исполнителя  =  2500 рублей</t>
  </si>
  <si>
    <t>стоимости оказания консультативной, методической помощи в подготовке и проведении культурно-досуговых мероприятий,  изготовление репертуарно-методических материалов</t>
  </si>
  <si>
    <t>стоимости публичного видео- кинопоказа</t>
  </si>
  <si>
    <t>1 билет</t>
  </si>
  <si>
    <t>Организация и проведение  концертов, спектаклей и других культурно-досуговых мероприятий, в том числе по заявкам организаций, предприятий и отдельных граждан</t>
  </si>
  <si>
    <t>1  концерт</t>
  </si>
  <si>
    <t>Предоставление оркестров, ансамблей, самодеятельных художественных коллективов</t>
  </si>
  <si>
    <t>1 выступление 1 коллектива</t>
  </si>
  <si>
    <t>Работа отдельных исполнителей для семейных и гражданских праздников и торжеств</t>
  </si>
  <si>
    <t>Оказание консультативной, методической помощи в подготовке и проведении культурно-досуговых мероприятий,  изготовление репертуарно-методических материалов</t>
  </si>
  <si>
    <t>Организация и проведение ярмарок, выставок-продаж</t>
  </si>
  <si>
    <t>1 выступление 1  исполнителя</t>
  </si>
  <si>
    <t>1 услуга</t>
  </si>
  <si>
    <t>1 час</t>
  </si>
  <si>
    <t>Сдача в аренду для организаций питания и отдыха посетителей, в соответствии с действующим законодательством большой зал</t>
  </si>
  <si>
    <t>Сдача в аренду для организаций питания и отдыха посетителей, в соответствии с действующим законодательством малый зал</t>
  </si>
  <si>
    <t>Сдача в аренду для организаций питания и отдыха посетителей, в соответствии с действующим законодательством фойе</t>
  </si>
  <si>
    <t>согласно калькуляции</t>
  </si>
  <si>
    <t>Стоимость , (руб.)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</si>
  <si>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</si>
  <si>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</si>
  <si>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</si>
  <si>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</si>
  <si>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</si>
  <si>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</si>
  <si>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</si>
  <si>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</si>
  <si>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</si>
  <si>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</si>
  <si>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</si>
  <si>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Прокат  сценических костюмов, культурного и другого инвентаря, аудио-видеокассет  с записями отечественных и зарубежных музыкальных и художественных произведений, звукоусилительной и осветительной аппаратуры и другого профильного оборудования</t>
  </si>
  <si>
    <t>Оплата  труда  работников</t>
  </si>
  <si>
    <t>ВСЕГО  стоимость  1 концерта</t>
  </si>
  <si>
    <t>Плановое  посещение  60  человек,  продолжительность  4  часа</t>
  </si>
  <si>
    <t>15136,16*1,1*1,7/(1772,4/12)(часов)</t>
  </si>
  <si>
    <t>9608,56*1,10*2,2/(1772,4/12)</t>
  </si>
  <si>
    <t>5209,36*1,1*2,2/(1772,4/12)</t>
  </si>
  <si>
    <t>2293,2*1,1*2,2/(1772,4/12)</t>
  </si>
  <si>
    <t>Стоимость 1  билета  при  плановой  посещаемости 60 человек =  100 рублей</t>
  </si>
  <si>
    <t>Плановое  посещение  60  человек,  продолжительность  2  часа</t>
  </si>
  <si>
    <t>Стоимость 1  билета  при  плановой  посещаемости 60 человек =  50 рублей</t>
  </si>
  <si>
    <t>15136*1,1*1,7/(1772,4/12)(часов)</t>
  </si>
  <si>
    <t>Стоимость 1 билета  при плановой  посещаемости 100 чел =  50 рублей</t>
  </si>
  <si>
    <t>Стоимость 1  концерта  =  4987 руб.</t>
  </si>
  <si>
    <t>Стоимость 1  выступления  1 коллектива  =  4754 рублей</t>
  </si>
  <si>
    <t>Рентабельность  23%</t>
  </si>
  <si>
    <t>Стоимость услуги = 1076 рублей</t>
  </si>
  <si>
    <t>9608,56*1,1*2,2/(1772,4/12)</t>
  </si>
  <si>
    <t>Стоимость 1  билета  при  плановой  посещаемости 100 человек =  20 рублей</t>
  </si>
  <si>
    <t>Начисления амортизации оборудования</t>
  </si>
  <si>
    <t>5209,36*1,10*2,2/(1772,4/12)</t>
  </si>
  <si>
    <t>2293,2*1,10*2,2/(1772,4/12)</t>
  </si>
  <si>
    <t>стоимости  части помещения при сдаче в аренду для организаций  отдыха посетителей, в соответствии с действующим законодательством</t>
  </si>
  <si>
    <t>Кассир - контролер</t>
  </si>
  <si>
    <t>Плановое  посещение  60  человек,  продолжительность  1 час</t>
  </si>
  <si>
    <t>Приложение № 2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</si>
  <si>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на  платные  услуги,  оказываемые  муниципальным  казенным  учреждением  "Культурно-спортивный центр сельского поселения Аган"</t>
  </si>
  <si>
    <t>Приложение № 3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</si>
  <si>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накладных  расходов  по  платным  услугам  МКУ  "Культурно-спортивный центр сельского поселения Аган"</t>
  </si>
  <si>
    <t>Приложение № 4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</si>
  <si>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МКУ  "Культурно-спортивный центр сельского поселения Аган"</t>
  </si>
  <si>
    <t>Приложение № 5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</si>
  <si>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6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</si>
  <si>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7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</si>
  <si>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8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</si>
  <si>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9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</si>
  <si>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10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</si>
  <si>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11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</si>
  <si>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12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</si>
  <si>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13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</si>
  <si>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14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</si>
  <si>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 15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</si>
  <si>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Приложение №16 к Положению о порядке оказания платных услуг муниципальным казенным учреждением «Культурно-спортивный центр сельского поселения Аган»</t>
  </si>
  <si>
    <t>Организация и проведение вечеров отдыха, танцевальных и других вечеров, праздников, втреч, гражданских и семейных обрядов, литературно-музыкальных гостинных, балов, дискотек (продолжительностью 4 часа)</t>
  </si>
  <si>
    <t>12</t>
  </si>
  <si>
    <t>Организация и проведение вечеров отдыха, танцевальных и других вечеров, праздников, встреч, гражданских и семейных обрядов, литературно - музыкальных гостинных, балов, дискотек (продолжительностью 2 часа)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</si>
</sst>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"/>
    <numFmt numFmtId="188" formatCode="0.00000000"/>
    <numFmt numFmtId="189" formatCode="0.0000000"/>
    <numFmt numFmtId="190" formatCode="0.000000"/>
    <numFmt numFmtId="191" formatCode="0.00000"/>
    <numFmt numFmtId="192" formatCode="0.0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0"/>
      <color indexed="10"/>
      <name val="Arial Cyr"/>
      <family val="0"/>
    </font>
    <font>
      <b/>
      <i/>
      <u val="single"/>
      <sz val="11"/>
      <name val="Times New Roman"/>
      <family val="1"/>
    </font>
    <font>
      <sz val="8"/>
      <color indexed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B31"/>
  <sheetViews>
    <sheetView view="pageBreakPreview" zoomScale="80" zoomScaleNormal="120" zoomScaleSheetLayoutView="80" zoomScalePageLayoutView="0" workbookViewId="0" topLeftCell="A11">
      <selection activeCell="B26" sqref="B26"/>
    </sheetView>
  </sheetViews>
  <sheetFormatPr defaultColWidth="9.00390625" defaultRowHeight="12.75"/>
  <cols>
    <col min="1" max="1" width="6.625" style="5" customWidth="1"/>
    <col min="2" max="2" width="62.75390625" style="1" customWidth="1"/>
    <col min="3" max="3" width="15.75390625" style="1" customWidth="1"/>
    <col min="4" max="4" width="20.25390625" style="1" customWidth="1"/>
    <col min="5" max="5" width="14.25390625" style="1" customWidth="1"/>
    <col min="6" max="27" width="9.25390625" style="1" customWidth="1"/>
  </cols>
  <sheetData>
    <row r="1" spans="3:8" ht="14.25" customHeight="1">
      <c r="C1" s="47" t="s">
        <v>239</v>
      </c>
      <c r="D1" s="47"/>
      <c r="G1" s="41"/>
      <c r="H1" s="41"/>
    </row>
    <row r="2" spans="3:8" ht="14.25" customHeight="1">
      <c r="C2" s="47"/>
      <c r="D2" s="47"/>
      <c r="G2" s="41"/>
      <c r="H2" s="41"/>
    </row>
    <row r="3" spans="3:8" ht="14.25" customHeight="1">
      <c r="C3" s="47"/>
      <c r="D3" s="47"/>
      <c r="G3" s="3"/>
      <c r="H3" s="3"/>
    </row>
    <row r="4" spans="2:8" ht="3" customHeight="1">
      <c r="B4" s="3"/>
      <c r="C4" s="47"/>
      <c r="D4" s="47"/>
      <c r="G4" s="3"/>
      <c r="H4" s="3"/>
    </row>
    <row r="5" spans="2:8" ht="3.75" customHeight="1" hidden="1">
      <c r="B5" s="3"/>
      <c r="C5" s="47"/>
      <c r="D5" s="47"/>
      <c r="G5" s="3"/>
      <c r="H5" s="3"/>
    </row>
    <row r="6" spans="2:8" ht="7.5" customHeight="1">
      <c r="B6" s="3"/>
      <c r="C6" s="47"/>
      <c r="D6" s="47"/>
      <c r="G6" s="3"/>
      <c r="H6" s="3"/>
    </row>
    <row r="7" spans="2:8" ht="14.25" customHeight="1" hidden="1">
      <c r="B7" s="3"/>
      <c r="C7" s="47"/>
      <c r="D7" s="47"/>
      <c r="G7" s="41"/>
      <c r="H7" s="41"/>
    </row>
    <row r="8" spans="3:8" ht="14.25" customHeight="1">
      <c r="C8" s="8"/>
      <c r="D8" s="8"/>
      <c r="G8" s="41"/>
      <c r="H8" s="41"/>
    </row>
    <row r="9" spans="1:4" ht="14.25">
      <c r="A9" s="48" t="s">
        <v>23</v>
      </c>
      <c r="B9" s="48"/>
      <c r="C9" s="48"/>
      <c r="D9" s="48"/>
    </row>
    <row r="10" spans="1:4" ht="31.5" customHeight="1">
      <c r="A10" s="46" t="s">
        <v>240</v>
      </c>
      <c r="B10" s="46"/>
      <c r="C10" s="46"/>
      <c r="D10" s="46"/>
    </row>
    <row r="11" spans="1:4" ht="12.75">
      <c r="A11" s="46"/>
      <c r="B11" s="46"/>
      <c r="C11" s="46"/>
      <c r="D11" s="46"/>
    </row>
    <row r="12" spans="1:27" s="22" customFormat="1" ht="15" customHeight="1">
      <c r="A12" s="19" t="s">
        <v>0</v>
      </c>
      <c r="B12" s="20" t="s">
        <v>24</v>
      </c>
      <c r="C12" s="20" t="s">
        <v>10</v>
      </c>
      <c r="D12" s="20" t="s">
        <v>202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4" ht="59.25" customHeight="1">
      <c r="A13" s="6" t="s">
        <v>203</v>
      </c>
      <c r="B13" s="7" t="s">
        <v>257</v>
      </c>
      <c r="C13" s="18" t="s">
        <v>187</v>
      </c>
      <c r="D13" s="18">
        <v>100</v>
      </c>
    </row>
    <row r="14" spans="1:4" ht="59.25" customHeight="1">
      <c r="A14" s="6" t="s">
        <v>204</v>
      </c>
      <c r="B14" s="38" t="s">
        <v>259</v>
      </c>
      <c r="C14" s="18" t="s">
        <v>187</v>
      </c>
      <c r="D14" s="18">
        <v>50</v>
      </c>
    </row>
    <row r="15" spans="1:4" ht="21.75" customHeight="1">
      <c r="A15" s="49" t="s">
        <v>205</v>
      </c>
      <c r="B15" s="42" t="s">
        <v>188</v>
      </c>
      <c r="C15" s="18" t="s">
        <v>189</v>
      </c>
      <c r="D15" s="18">
        <v>4987</v>
      </c>
    </row>
    <row r="16" spans="1:4" ht="21" customHeight="1">
      <c r="A16" s="49"/>
      <c r="B16" s="43"/>
      <c r="C16" s="18" t="s">
        <v>187</v>
      </c>
      <c r="D16" s="18">
        <v>50</v>
      </c>
    </row>
    <row r="17" spans="1:4" ht="25.5">
      <c r="A17" s="6" t="s">
        <v>206</v>
      </c>
      <c r="B17" s="7" t="s">
        <v>190</v>
      </c>
      <c r="C17" s="18" t="s">
        <v>191</v>
      </c>
      <c r="D17" s="18">
        <v>4754</v>
      </c>
    </row>
    <row r="18" spans="1:4" ht="27" customHeight="1">
      <c r="A18" s="6" t="s">
        <v>207</v>
      </c>
      <c r="B18" s="7" t="s">
        <v>192</v>
      </c>
      <c r="C18" s="18" t="s">
        <v>195</v>
      </c>
      <c r="D18" s="18">
        <v>2500</v>
      </c>
    </row>
    <row r="19" spans="1:4" ht="38.25" customHeight="1">
      <c r="A19" s="6" t="s">
        <v>208</v>
      </c>
      <c r="B19" s="7" t="s">
        <v>193</v>
      </c>
      <c r="C19" s="18" t="s">
        <v>196</v>
      </c>
      <c r="D19" s="18">
        <v>1076</v>
      </c>
    </row>
    <row r="20" spans="1:4" ht="57.75" customHeight="1">
      <c r="A20" s="6" t="s">
        <v>209</v>
      </c>
      <c r="B20" s="7" t="s">
        <v>214</v>
      </c>
      <c r="C20" s="44" t="s">
        <v>201</v>
      </c>
      <c r="D20" s="45"/>
    </row>
    <row r="21" spans="1:4" ht="12.75">
      <c r="A21" s="6" t="s">
        <v>210</v>
      </c>
      <c r="B21" s="7" t="s">
        <v>194</v>
      </c>
      <c r="C21" s="18" t="s">
        <v>187</v>
      </c>
      <c r="D21" s="18">
        <v>20</v>
      </c>
    </row>
    <row r="22" spans="1:4" ht="33.75" customHeight="1">
      <c r="A22" s="39" t="s">
        <v>211</v>
      </c>
      <c r="B22" s="38" t="s">
        <v>198</v>
      </c>
      <c r="C22" s="18" t="s">
        <v>197</v>
      </c>
      <c r="D22" s="18">
        <v>900</v>
      </c>
    </row>
    <row r="23" spans="1:4" ht="25.5">
      <c r="A23" s="6" t="s">
        <v>212</v>
      </c>
      <c r="B23" s="7" t="s">
        <v>199</v>
      </c>
      <c r="C23" s="18" t="s">
        <v>197</v>
      </c>
      <c r="D23" s="18">
        <v>400</v>
      </c>
    </row>
    <row r="24" spans="1:4" ht="25.5">
      <c r="A24" s="6" t="s">
        <v>213</v>
      </c>
      <c r="B24" s="7" t="s">
        <v>200</v>
      </c>
      <c r="C24" s="18" t="s">
        <v>197</v>
      </c>
      <c r="D24" s="18">
        <v>400</v>
      </c>
    </row>
    <row r="25" spans="1:4" ht="12.75" customHeight="1">
      <c r="A25" s="6" t="s">
        <v>258</v>
      </c>
      <c r="B25" s="7" t="s">
        <v>182</v>
      </c>
      <c r="C25" s="18" t="s">
        <v>187</v>
      </c>
      <c r="D25" s="18">
        <v>50</v>
      </c>
    </row>
    <row r="26" spans="1:4" ht="12.75" customHeight="1">
      <c r="A26" s="36"/>
      <c r="B26" s="35"/>
      <c r="C26" s="37"/>
      <c r="D26" s="37"/>
    </row>
    <row r="27" spans="2:6" ht="9.75" customHeight="1">
      <c r="B27" s="8"/>
      <c r="C27" s="8"/>
      <c r="D27" s="8"/>
      <c r="E27" s="8"/>
      <c r="F27" s="8"/>
    </row>
    <row r="28" spans="1:28" ht="12.75">
      <c r="A28" s="41"/>
      <c r="B28" s="41"/>
      <c r="C28" s="3"/>
      <c r="D28" s="41"/>
      <c r="E28" s="41"/>
      <c r="AB28" s="1"/>
    </row>
    <row r="29" spans="1:28" ht="12.75">
      <c r="A29" s="1"/>
      <c r="AB29" s="1"/>
    </row>
    <row r="30" spans="1:28" ht="12.75">
      <c r="A30" s="1"/>
      <c r="AB30" s="1"/>
    </row>
    <row r="31" spans="1:28" ht="12.75" customHeight="1">
      <c r="A31" s="41"/>
      <c r="B31" s="41"/>
      <c r="C31" s="41"/>
      <c r="AB31" s="1"/>
    </row>
  </sheetData>
  <sheetProtection/>
  <mergeCells count="14">
    <mergeCell ref="D28:E28"/>
    <mergeCell ref="A31:C31"/>
    <mergeCell ref="A9:D9"/>
    <mergeCell ref="A15:A16"/>
    <mergeCell ref="A10:D10"/>
    <mergeCell ref="A28:B28"/>
    <mergeCell ref="G1:H1"/>
    <mergeCell ref="G2:H2"/>
    <mergeCell ref="G7:H7"/>
    <mergeCell ref="G8:H8"/>
    <mergeCell ref="B15:B16"/>
    <mergeCell ref="C20:D20"/>
    <mergeCell ref="A11:D11"/>
    <mergeCell ref="C1:D7"/>
  </mergeCells>
  <printOptions horizontalCentered="1"/>
  <pageMargins left="0.3937007874015748" right="0" top="0" bottom="0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7"/>
  <sheetViews>
    <sheetView view="pageBreakPreview" zoomScale="88" zoomScaleNormal="80" zoomScaleSheetLayoutView="88" zoomScalePageLayoutView="0" workbookViewId="0" topLeftCell="A1">
      <selection activeCell="A4" sqref="A4:E4"/>
    </sheetView>
  </sheetViews>
  <sheetFormatPr defaultColWidth="9.00390625" defaultRowHeight="12.75"/>
  <cols>
    <col min="1" max="1" width="7.25390625" style="1" customWidth="1"/>
    <col min="2" max="2" width="38.625" style="1" customWidth="1"/>
    <col min="3" max="3" width="19.75390625" style="1" customWidth="1"/>
    <col min="4" max="4" width="13.625" style="1" customWidth="1"/>
    <col min="5" max="5" width="14.25390625" style="1" customWidth="1"/>
    <col min="6" max="6" width="9.75390625" style="1" customWidth="1"/>
    <col min="7" max="7" width="12.25390625" style="1" customWidth="1"/>
    <col min="8" max="27" width="9.25390625" style="1" customWidth="1"/>
  </cols>
  <sheetData>
    <row r="1" spans="5:7" ht="67.5" customHeight="1">
      <c r="E1" s="41" t="s">
        <v>249</v>
      </c>
      <c r="F1" s="41"/>
      <c r="G1" s="41"/>
    </row>
    <row r="2" spans="1:5" ht="12.75" customHeight="1">
      <c r="A2" s="54" t="s">
        <v>11</v>
      </c>
      <c r="B2" s="54"/>
      <c r="C2" s="54"/>
      <c r="D2" s="54"/>
      <c r="E2" s="54"/>
    </row>
    <row r="3" spans="1:7" ht="38.25" customHeight="1">
      <c r="A3" s="54" t="s">
        <v>165</v>
      </c>
      <c r="B3" s="54"/>
      <c r="C3" s="54"/>
      <c r="D3" s="54"/>
      <c r="E3" s="54"/>
      <c r="F3" s="54"/>
      <c r="G3" s="54"/>
    </row>
    <row r="4" spans="1:5" ht="12.75" customHeight="1">
      <c r="A4" s="54" t="s">
        <v>244</v>
      </c>
      <c r="B4" s="54"/>
      <c r="C4" s="54"/>
      <c r="D4" s="54"/>
      <c r="E4" s="54"/>
    </row>
    <row r="5" spans="1:5" ht="12.75">
      <c r="A5" s="54"/>
      <c r="B5" s="54"/>
      <c r="C5" s="54"/>
      <c r="D5" s="54"/>
      <c r="E5" s="54"/>
    </row>
    <row r="7" spans="1:7" ht="39" customHeight="1">
      <c r="A7" s="4" t="s">
        <v>0</v>
      </c>
      <c r="B7" s="4" t="s">
        <v>1</v>
      </c>
      <c r="C7" s="4" t="s">
        <v>13</v>
      </c>
      <c r="D7" s="4" t="s">
        <v>168</v>
      </c>
      <c r="E7" s="4" t="s">
        <v>166</v>
      </c>
      <c r="F7" s="4" t="s">
        <v>167</v>
      </c>
      <c r="G7" s="4" t="s">
        <v>2</v>
      </c>
    </row>
    <row r="8" spans="1:7" ht="12.75">
      <c r="A8" s="4"/>
      <c r="B8" s="7" t="s">
        <v>128</v>
      </c>
      <c r="C8" s="4"/>
      <c r="D8" s="14">
        <v>55.4</v>
      </c>
      <c r="E8" s="14">
        <f>D8*1.88</f>
        <v>104.15199999999999</v>
      </c>
      <c r="F8" s="14">
        <f>(D8+E8)*20%</f>
        <v>31.9104</v>
      </c>
      <c r="G8" s="14">
        <f>D8+E8+F8</f>
        <v>191.4624</v>
      </c>
    </row>
    <row r="9" spans="1:7" ht="12.75">
      <c r="A9" s="4"/>
      <c r="B9" s="7" t="s">
        <v>129</v>
      </c>
      <c r="C9" s="4"/>
      <c r="D9" s="14">
        <v>28.21</v>
      </c>
      <c r="E9" s="14">
        <f aca="true" t="shared" si="0" ref="E9:E41">D9*1.88</f>
        <v>53.0348</v>
      </c>
      <c r="F9" s="14">
        <f aca="true" t="shared" si="1" ref="F9:F41">(D9+E9)*20%</f>
        <v>16.24896</v>
      </c>
      <c r="G9" s="14">
        <f aca="true" t="shared" si="2" ref="G9:G41">D9+E9+F9</f>
        <v>97.49376</v>
      </c>
    </row>
    <row r="10" spans="1:7" ht="12.75">
      <c r="A10" s="4"/>
      <c r="B10" s="7" t="s">
        <v>130</v>
      </c>
      <c r="C10" s="4"/>
      <c r="D10" s="14">
        <v>143.62</v>
      </c>
      <c r="E10" s="14">
        <f t="shared" si="0"/>
        <v>270.0056</v>
      </c>
      <c r="F10" s="14">
        <f t="shared" si="1"/>
        <v>82.72512</v>
      </c>
      <c r="G10" s="14">
        <f t="shared" si="2"/>
        <v>496.35072</v>
      </c>
    </row>
    <row r="11" spans="1:7" ht="12.75">
      <c r="A11" s="4"/>
      <c r="B11" s="7" t="s">
        <v>131</v>
      </c>
      <c r="C11" s="4"/>
      <c r="D11" s="14">
        <v>64.12</v>
      </c>
      <c r="E11" s="14">
        <f t="shared" si="0"/>
        <v>120.54560000000001</v>
      </c>
      <c r="F11" s="14">
        <f t="shared" si="1"/>
        <v>36.93312</v>
      </c>
      <c r="G11" s="14">
        <f t="shared" si="2"/>
        <v>221.59872000000001</v>
      </c>
    </row>
    <row r="12" spans="1:7" ht="12.75">
      <c r="A12" s="4"/>
      <c r="B12" s="7" t="s">
        <v>132</v>
      </c>
      <c r="C12" s="4"/>
      <c r="D12" s="14">
        <v>89.76</v>
      </c>
      <c r="E12" s="14">
        <f t="shared" si="0"/>
        <v>168.7488</v>
      </c>
      <c r="F12" s="14">
        <f t="shared" si="1"/>
        <v>51.70176000000001</v>
      </c>
      <c r="G12" s="14">
        <f t="shared" si="2"/>
        <v>310.21056</v>
      </c>
    </row>
    <row r="13" spans="1:7" ht="12.75">
      <c r="A13" s="4"/>
      <c r="B13" s="7" t="s">
        <v>133</v>
      </c>
      <c r="C13" s="4"/>
      <c r="D13" s="14">
        <v>82.07</v>
      </c>
      <c r="E13" s="14">
        <f t="shared" si="0"/>
        <v>154.2916</v>
      </c>
      <c r="F13" s="14">
        <f t="shared" si="1"/>
        <v>47.27232</v>
      </c>
      <c r="G13" s="14">
        <f t="shared" si="2"/>
        <v>283.63392</v>
      </c>
    </row>
    <row r="14" spans="1:7" ht="12.75">
      <c r="A14" s="4"/>
      <c r="B14" s="7" t="s">
        <v>134</v>
      </c>
      <c r="C14" s="4"/>
      <c r="D14" s="14">
        <v>134.73</v>
      </c>
      <c r="E14" s="14">
        <f t="shared" si="0"/>
        <v>253.29239999999996</v>
      </c>
      <c r="F14" s="14">
        <f t="shared" si="1"/>
        <v>77.60448</v>
      </c>
      <c r="G14" s="14">
        <f t="shared" si="2"/>
        <v>465.6268799999999</v>
      </c>
    </row>
    <row r="15" spans="1:7" ht="12.75">
      <c r="A15" s="4"/>
      <c r="B15" s="7" t="s">
        <v>130</v>
      </c>
      <c r="C15" s="4"/>
      <c r="D15" s="14">
        <v>143.62</v>
      </c>
      <c r="E15" s="14">
        <f t="shared" si="0"/>
        <v>270.0056</v>
      </c>
      <c r="F15" s="14">
        <f t="shared" si="1"/>
        <v>82.72512</v>
      </c>
      <c r="G15" s="14">
        <f t="shared" si="2"/>
        <v>496.35072</v>
      </c>
    </row>
    <row r="16" spans="1:7" ht="12.75">
      <c r="A16" s="4"/>
      <c r="B16" s="7" t="s">
        <v>135</v>
      </c>
      <c r="C16" s="4"/>
      <c r="D16" s="14">
        <v>33.94</v>
      </c>
      <c r="E16" s="14">
        <f t="shared" si="0"/>
        <v>63.807199999999995</v>
      </c>
      <c r="F16" s="14">
        <f t="shared" si="1"/>
        <v>19.54944</v>
      </c>
      <c r="G16" s="14">
        <f t="shared" si="2"/>
        <v>117.29664</v>
      </c>
    </row>
    <row r="17" spans="1:7" ht="12.75">
      <c r="A17" s="4"/>
      <c r="B17" s="7" t="s">
        <v>136</v>
      </c>
      <c r="C17" s="4"/>
      <c r="D17" s="14">
        <v>54.74</v>
      </c>
      <c r="E17" s="14">
        <f t="shared" si="0"/>
        <v>102.9112</v>
      </c>
      <c r="F17" s="14">
        <f t="shared" si="1"/>
        <v>31.53024</v>
      </c>
      <c r="G17" s="14">
        <f t="shared" si="2"/>
        <v>189.18143999999998</v>
      </c>
    </row>
    <row r="18" spans="1:7" ht="12.75">
      <c r="A18" s="4"/>
      <c r="B18" s="7" t="s">
        <v>137</v>
      </c>
      <c r="C18" s="4"/>
      <c r="D18" s="14">
        <v>69.2</v>
      </c>
      <c r="E18" s="14">
        <f t="shared" si="0"/>
        <v>130.096</v>
      </c>
      <c r="F18" s="14">
        <f t="shared" si="1"/>
        <v>39.8592</v>
      </c>
      <c r="G18" s="14">
        <f t="shared" si="2"/>
        <v>239.15519999999998</v>
      </c>
    </row>
    <row r="19" spans="1:7" ht="12.75">
      <c r="A19" s="4"/>
      <c r="B19" s="7" t="s">
        <v>138</v>
      </c>
      <c r="C19" s="4"/>
      <c r="D19" s="14">
        <v>23.98</v>
      </c>
      <c r="E19" s="14">
        <f t="shared" si="0"/>
        <v>45.0824</v>
      </c>
      <c r="F19" s="14">
        <f t="shared" si="1"/>
        <v>13.81248</v>
      </c>
      <c r="G19" s="14">
        <f t="shared" si="2"/>
        <v>82.87487999999999</v>
      </c>
    </row>
    <row r="20" spans="1:7" ht="12.75">
      <c r="A20" s="4"/>
      <c r="B20" s="7" t="s">
        <v>139</v>
      </c>
      <c r="C20" s="4"/>
      <c r="D20" s="14">
        <v>8.79</v>
      </c>
      <c r="E20" s="14">
        <f t="shared" si="0"/>
        <v>16.525199999999998</v>
      </c>
      <c r="F20" s="14">
        <f t="shared" si="1"/>
        <v>5.06304</v>
      </c>
      <c r="G20" s="14">
        <f t="shared" si="2"/>
        <v>30.378239999999998</v>
      </c>
    </row>
    <row r="21" spans="1:7" ht="12.75">
      <c r="A21" s="4"/>
      <c r="B21" s="7" t="s">
        <v>140</v>
      </c>
      <c r="C21" s="4"/>
      <c r="D21" s="14">
        <v>7.58</v>
      </c>
      <c r="E21" s="14">
        <f t="shared" si="0"/>
        <v>14.250399999999999</v>
      </c>
      <c r="F21" s="14">
        <f t="shared" si="1"/>
        <v>4.366079999999999</v>
      </c>
      <c r="G21" s="14">
        <f t="shared" si="2"/>
        <v>26.196479999999998</v>
      </c>
    </row>
    <row r="22" spans="1:7" ht="12.75">
      <c r="A22" s="4"/>
      <c r="B22" s="7" t="s">
        <v>141</v>
      </c>
      <c r="C22" s="4"/>
      <c r="D22" s="14">
        <v>456.94</v>
      </c>
      <c r="E22" s="14">
        <f t="shared" si="0"/>
        <v>859.0472</v>
      </c>
      <c r="F22" s="14">
        <f t="shared" si="1"/>
        <v>263.19744000000003</v>
      </c>
      <c r="G22" s="14">
        <f t="shared" si="2"/>
        <v>1579.18464</v>
      </c>
    </row>
    <row r="23" spans="1:7" ht="12.75">
      <c r="A23" s="4"/>
      <c r="B23" s="7" t="s">
        <v>142</v>
      </c>
      <c r="C23" s="4"/>
      <c r="D23" s="14">
        <v>81.4</v>
      </c>
      <c r="E23" s="14">
        <f t="shared" si="0"/>
        <v>153.032</v>
      </c>
      <c r="F23" s="14">
        <f t="shared" si="1"/>
        <v>46.88640000000001</v>
      </c>
      <c r="G23" s="14">
        <f t="shared" si="2"/>
        <v>281.3184</v>
      </c>
    </row>
    <row r="24" spans="1:7" ht="12.75">
      <c r="A24" s="4"/>
      <c r="B24" s="7" t="s">
        <v>143</v>
      </c>
      <c r="C24" s="4"/>
      <c r="D24" s="14">
        <v>15.83</v>
      </c>
      <c r="E24" s="14">
        <f t="shared" si="0"/>
        <v>29.760399999999997</v>
      </c>
      <c r="F24" s="14">
        <f t="shared" si="1"/>
        <v>9.118079999999999</v>
      </c>
      <c r="G24" s="14">
        <f t="shared" si="2"/>
        <v>54.708479999999994</v>
      </c>
    </row>
    <row r="25" spans="1:7" ht="25.5">
      <c r="A25" s="4"/>
      <c r="B25" s="7" t="s">
        <v>144</v>
      </c>
      <c r="C25" s="4"/>
      <c r="D25" s="14">
        <v>141.63</v>
      </c>
      <c r="E25" s="14">
        <f t="shared" si="0"/>
        <v>266.26439999999997</v>
      </c>
      <c r="F25" s="14">
        <f t="shared" si="1"/>
        <v>81.57888</v>
      </c>
      <c r="G25" s="14">
        <f t="shared" si="2"/>
        <v>489.47327999999993</v>
      </c>
    </row>
    <row r="26" spans="1:7" ht="12.75">
      <c r="A26" s="4"/>
      <c r="B26" s="7" t="s">
        <v>145</v>
      </c>
      <c r="C26" s="4"/>
      <c r="D26" s="14">
        <v>15.22</v>
      </c>
      <c r="E26" s="14">
        <f t="shared" si="0"/>
        <v>28.613599999999998</v>
      </c>
      <c r="F26" s="14">
        <f t="shared" si="1"/>
        <v>8.76672</v>
      </c>
      <c r="G26" s="14">
        <f t="shared" si="2"/>
        <v>52.600319999999996</v>
      </c>
    </row>
    <row r="27" spans="1:7" ht="12.75">
      <c r="A27" s="4"/>
      <c r="B27" s="7" t="s">
        <v>146</v>
      </c>
      <c r="C27" s="4"/>
      <c r="D27" s="14">
        <v>24.57</v>
      </c>
      <c r="E27" s="14">
        <f t="shared" si="0"/>
        <v>46.1916</v>
      </c>
      <c r="F27" s="14">
        <f t="shared" si="1"/>
        <v>14.152320000000001</v>
      </c>
      <c r="G27" s="14">
        <f t="shared" si="2"/>
        <v>84.91392</v>
      </c>
    </row>
    <row r="28" spans="1:7" ht="12.75">
      <c r="A28" s="4"/>
      <c r="B28" s="7" t="s">
        <v>147</v>
      </c>
      <c r="C28" s="4"/>
      <c r="D28" s="14">
        <v>21.02</v>
      </c>
      <c r="E28" s="14">
        <f t="shared" si="0"/>
        <v>39.517599999999995</v>
      </c>
      <c r="F28" s="14">
        <f t="shared" si="1"/>
        <v>12.107520000000001</v>
      </c>
      <c r="G28" s="14">
        <f t="shared" si="2"/>
        <v>72.64511999999999</v>
      </c>
    </row>
    <row r="29" spans="1:7" ht="12.75">
      <c r="A29" s="4"/>
      <c r="B29" s="7" t="s">
        <v>148</v>
      </c>
      <c r="C29" s="4"/>
      <c r="D29" s="14">
        <v>27.52</v>
      </c>
      <c r="E29" s="14">
        <f t="shared" si="0"/>
        <v>51.73759999999999</v>
      </c>
      <c r="F29" s="14">
        <f t="shared" si="1"/>
        <v>15.85152</v>
      </c>
      <c r="G29" s="14">
        <f t="shared" si="2"/>
        <v>95.10911999999999</v>
      </c>
    </row>
    <row r="30" spans="1:7" ht="12.75">
      <c r="A30" s="4"/>
      <c r="B30" s="7" t="s">
        <v>149</v>
      </c>
      <c r="C30" s="4"/>
      <c r="D30" s="14">
        <v>150.93</v>
      </c>
      <c r="E30" s="14">
        <f t="shared" si="0"/>
        <v>283.7484</v>
      </c>
      <c r="F30" s="14">
        <f t="shared" si="1"/>
        <v>86.93568</v>
      </c>
      <c r="G30" s="14">
        <f t="shared" si="2"/>
        <v>521.6140800000001</v>
      </c>
    </row>
    <row r="31" spans="1:7" ht="12.75">
      <c r="A31" s="4"/>
      <c r="B31" s="7" t="s">
        <v>150</v>
      </c>
      <c r="C31" s="4"/>
      <c r="D31" s="14">
        <v>62.17</v>
      </c>
      <c r="E31" s="14">
        <f t="shared" si="0"/>
        <v>116.8796</v>
      </c>
      <c r="F31" s="14">
        <f t="shared" si="1"/>
        <v>35.80992</v>
      </c>
      <c r="G31" s="14">
        <f t="shared" si="2"/>
        <v>214.85952</v>
      </c>
    </row>
    <row r="32" spans="1:7" ht="12.75">
      <c r="A32" s="4"/>
      <c r="B32" s="7" t="s">
        <v>151</v>
      </c>
      <c r="C32" s="4"/>
      <c r="D32" s="14">
        <v>94.66</v>
      </c>
      <c r="E32" s="14">
        <f t="shared" si="0"/>
        <v>177.96079999999998</v>
      </c>
      <c r="F32" s="14">
        <f t="shared" si="1"/>
        <v>54.524159999999995</v>
      </c>
      <c r="G32" s="14">
        <f t="shared" si="2"/>
        <v>327.14495999999997</v>
      </c>
    </row>
    <row r="33" spans="1:7" ht="12.75">
      <c r="A33" s="4"/>
      <c r="B33" s="7" t="s">
        <v>152</v>
      </c>
      <c r="C33" s="4"/>
      <c r="D33" s="14">
        <v>100.02</v>
      </c>
      <c r="E33" s="14">
        <f t="shared" si="0"/>
        <v>188.03759999999997</v>
      </c>
      <c r="F33" s="14">
        <f t="shared" si="1"/>
        <v>57.61152</v>
      </c>
      <c r="G33" s="14">
        <f t="shared" si="2"/>
        <v>345.66911999999996</v>
      </c>
    </row>
    <row r="34" spans="1:7" ht="12.75">
      <c r="A34" s="4"/>
      <c r="B34" s="7" t="s">
        <v>153</v>
      </c>
      <c r="C34" s="4"/>
      <c r="D34" s="14">
        <v>23.97</v>
      </c>
      <c r="E34" s="14">
        <f t="shared" si="0"/>
        <v>45.063599999999994</v>
      </c>
      <c r="F34" s="14">
        <f t="shared" si="1"/>
        <v>13.806719999999999</v>
      </c>
      <c r="G34" s="14">
        <f t="shared" si="2"/>
        <v>82.84031999999999</v>
      </c>
    </row>
    <row r="35" spans="1:7" ht="12.75">
      <c r="A35" s="4"/>
      <c r="B35" s="7" t="s">
        <v>154</v>
      </c>
      <c r="C35" s="4"/>
      <c r="D35" s="14">
        <v>102.87</v>
      </c>
      <c r="E35" s="14">
        <f t="shared" si="0"/>
        <v>193.3956</v>
      </c>
      <c r="F35" s="14">
        <f t="shared" si="1"/>
        <v>59.25312</v>
      </c>
      <c r="G35" s="14">
        <f t="shared" si="2"/>
        <v>355.51872000000003</v>
      </c>
    </row>
    <row r="36" spans="1:7" ht="12.75">
      <c r="A36" s="4"/>
      <c r="B36" s="7" t="s">
        <v>155</v>
      </c>
      <c r="C36" s="4"/>
      <c r="D36" s="14">
        <v>33.53</v>
      </c>
      <c r="E36" s="14">
        <f t="shared" si="0"/>
        <v>63.0364</v>
      </c>
      <c r="F36" s="14">
        <f t="shared" si="1"/>
        <v>19.313280000000002</v>
      </c>
      <c r="G36" s="14">
        <f t="shared" si="2"/>
        <v>115.87968000000001</v>
      </c>
    </row>
    <row r="37" spans="1:7" ht="25.5">
      <c r="A37" s="4"/>
      <c r="B37" s="7" t="s">
        <v>156</v>
      </c>
      <c r="C37" s="4"/>
      <c r="D37" s="14">
        <v>95.15</v>
      </c>
      <c r="E37" s="14">
        <f t="shared" si="0"/>
        <v>178.882</v>
      </c>
      <c r="F37" s="14">
        <f t="shared" si="1"/>
        <v>54.80640000000001</v>
      </c>
      <c r="G37" s="14">
        <f t="shared" si="2"/>
        <v>328.83840000000004</v>
      </c>
    </row>
    <row r="38" spans="1:7" ht="12.75">
      <c r="A38" s="4"/>
      <c r="B38" s="7" t="s">
        <v>157</v>
      </c>
      <c r="C38" s="4"/>
      <c r="D38" s="14">
        <v>6.62</v>
      </c>
      <c r="E38" s="14">
        <f t="shared" si="0"/>
        <v>12.445599999999999</v>
      </c>
      <c r="F38" s="14">
        <f t="shared" si="1"/>
        <v>3.81312</v>
      </c>
      <c r="G38" s="14">
        <f t="shared" si="2"/>
        <v>22.87872</v>
      </c>
    </row>
    <row r="39" spans="1:7" ht="12.75">
      <c r="A39" s="4"/>
      <c r="B39" s="7" t="s">
        <v>158</v>
      </c>
      <c r="C39" s="4"/>
      <c r="D39" s="14">
        <v>7.56</v>
      </c>
      <c r="E39" s="14">
        <f t="shared" si="0"/>
        <v>14.212799999999998</v>
      </c>
      <c r="F39" s="14">
        <f t="shared" si="1"/>
        <v>4.354559999999999</v>
      </c>
      <c r="G39" s="14">
        <f t="shared" si="2"/>
        <v>26.127359999999996</v>
      </c>
    </row>
    <row r="40" spans="1:7" ht="12.75">
      <c r="A40" s="4"/>
      <c r="B40" s="7" t="s">
        <v>160</v>
      </c>
      <c r="C40" s="4"/>
      <c r="D40" s="14">
        <v>5.68</v>
      </c>
      <c r="E40" s="14">
        <f t="shared" si="0"/>
        <v>10.678399999999998</v>
      </c>
      <c r="F40" s="14">
        <f t="shared" si="1"/>
        <v>3.2716799999999995</v>
      </c>
      <c r="G40" s="14">
        <f t="shared" si="2"/>
        <v>19.630079999999996</v>
      </c>
    </row>
    <row r="41" spans="1:7" ht="12.75">
      <c r="A41" s="4"/>
      <c r="B41" s="7" t="s">
        <v>161</v>
      </c>
      <c r="C41" s="4"/>
      <c r="D41" s="14">
        <v>67.74</v>
      </c>
      <c r="E41" s="14">
        <f t="shared" si="0"/>
        <v>127.35119999999998</v>
      </c>
      <c r="F41" s="14">
        <f t="shared" si="1"/>
        <v>39.01823999999999</v>
      </c>
      <c r="G41" s="14">
        <f t="shared" si="2"/>
        <v>234.10943999999995</v>
      </c>
    </row>
    <row r="42" ht="12.75" customHeight="1">
      <c r="AB42" s="1"/>
    </row>
    <row r="43" ht="12.75">
      <c r="AB43" s="1"/>
    </row>
    <row r="44" spans="1:28" ht="12.75">
      <c r="A44" s="41"/>
      <c r="B44" s="41"/>
      <c r="C44" s="3"/>
      <c r="D44" s="41"/>
      <c r="E44" s="41"/>
      <c r="AB44" s="1"/>
    </row>
    <row r="45" ht="12.75">
      <c r="AB45" s="1"/>
    </row>
    <row r="46" ht="12.75">
      <c r="AB46" s="1"/>
    </row>
    <row r="47" spans="1:28" ht="12.75" customHeight="1">
      <c r="A47" s="41"/>
      <c r="B47" s="41"/>
      <c r="C47" s="41"/>
      <c r="AB47" s="1"/>
    </row>
  </sheetData>
  <sheetProtection/>
  <mergeCells count="8">
    <mergeCell ref="E1:G1"/>
    <mergeCell ref="A47:C47"/>
    <mergeCell ref="A3:G3"/>
    <mergeCell ref="A44:B44"/>
    <mergeCell ref="A2:E2"/>
    <mergeCell ref="A5:E5"/>
    <mergeCell ref="D44:E44"/>
    <mergeCell ref="A4:E4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7"/>
  <sheetViews>
    <sheetView view="pageBreakPreview" zoomScale="86" zoomScaleNormal="120" zoomScaleSheetLayoutView="86" zoomScalePageLayoutView="0" workbookViewId="0" topLeftCell="A1">
      <selection activeCell="A5" sqref="A5:E5"/>
    </sheetView>
  </sheetViews>
  <sheetFormatPr defaultColWidth="9.00390625" defaultRowHeight="12.75"/>
  <cols>
    <col min="1" max="1" width="6.25390625" style="1" customWidth="1"/>
    <col min="2" max="2" width="43.00390625" style="1" customWidth="1"/>
    <col min="3" max="3" width="23.25390625" style="1" customWidth="1"/>
    <col min="4" max="4" width="13.625" style="1" customWidth="1"/>
    <col min="5" max="5" width="14.25390625" style="1" customWidth="1"/>
    <col min="6" max="6" width="9.75390625" style="1" bestFit="1" customWidth="1"/>
    <col min="7" max="27" width="9.25390625" style="1" customWidth="1"/>
  </cols>
  <sheetData>
    <row r="1" spans="4:5" ht="99" customHeight="1">
      <c r="D1" s="41" t="s">
        <v>250</v>
      </c>
      <c r="E1" s="41"/>
    </row>
    <row r="2" spans="1:4" ht="12.75">
      <c r="A2" s="54" t="s">
        <v>11</v>
      </c>
      <c r="B2" s="54"/>
      <c r="C2" s="54"/>
      <c r="D2" s="54"/>
    </row>
    <row r="3" spans="1:4" ht="12.75">
      <c r="A3" s="54" t="s">
        <v>178</v>
      </c>
      <c r="B3" s="54"/>
      <c r="C3" s="54"/>
      <c r="D3" s="54"/>
    </row>
    <row r="4" spans="1:4" ht="12.75">
      <c r="A4" s="54"/>
      <c r="B4" s="54"/>
      <c r="C4" s="54"/>
      <c r="D4" s="54"/>
    </row>
    <row r="5" spans="1:5" ht="12.75" customHeight="1">
      <c r="A5" s="54" t="s">
        <v>244</v>
      </c>
      <c r="B5" s="54"/>
      <c r="C5" s="54"/>
      <c r="D5" s="54"/>
      <c r="E5" s="54"/>
    </row>
    <row r="6" spans="1:4" ht="12.75">
      <c r="A6" s="54" t="s">
        <v>179</v>
      </c>
      <c r="B6" s="54"/>
      <c r="C6" s="54"/>
      <c r="D6" s="54"/>
    </row>
    <row r="7" ht="12.75">
      <c r="E7" s="1" t="s">
        <v>9</v>
      </c>
    </row>
    <row r="8" spans="1:4" ht="39" customHeight="1">
      <c r="A8" s="4" t="s">
        <v>0</v>
      </c>
      <c r="B8" s="4" t="s">
        <v>1</v>
      </c>
      <c r="C8" s="4" t="s">
        <v>13</v>
      </c>
      <c r="D8" s="4" t="s">
        <v>2</v>
      </c>
    </row>
    <row r="9" spans="1:4" ht="12.75">
      <c r="A9" s="4">
        <v>1</v>
      </c>
      <c r="B9" s="4" t="s">
        <v>3</v>
      </c>
      <c r="C9" s="4"/>
      <c r="D9" s="14">
        <f>SUM(D10:D12)</f>
        <v>424.5352362897766</v>
      </c>
    </row>
    <row r="10" spans="1:4" ht="25.5">
      <c r="A10" s="4"/>
      <c r="B10" s="7" t="s">
        <v>84</v>
      </c>
      <c r="C10" s="4" t="s">
        <v>218</v>
      </c>
      <c r="D10" s="14">
        <f>15136.16*1.1*1.7/(1772.4/12)</f>
        <v>191.6358781313473</v>
      </c>
    </row>
    <row r="11" spans="1:28" s="1" customFormat="1" ht="12.75">
      <c r="A11" s="4"/>
      <c r="B11" s="7" t="s">
        <v>86</v>
      </c>
      <c r="C11" s="4" t="s">
        <v>231</v>
      </c>
      <c r="D11" s="14">
        <f>9608.56*1.1*2.2/(1772.4/12)</f>
        <v>157.43205958023023</v>
      </c>
      <c r="AB11"/>
    </row>
    <row r="12" spans="1:28" s="1" customFormat="1" ht="12.75">
      <c r="A12" s="4"/>
      <c r="B12" s="7" t="s">
        <v>87</v>
      </c>
      <c r="C12" s="4" t="s">
        <v>221</v>
      </c>
      <c r="D12" s="14">
        <f>4606*1.1*2.2/(1772.4/12)</f>
        <v>75.46729857819906</v>
      </c>
      <c r="AB12"/>
    </row>
    <row r="13" spans="1:28" s="1" customFormat="1" ht="12.75">
      <c r="A13" s="4">
        <v>2</v>
      </c>
      <c r="B13" s="4" t="s">
        <v>12</v>
      </c>
      <c r="C13" s="13">
        <v>0.302</v>
      </c>
      <c r="D13" s="14">
        <f>D9*C13</f>
        <v>128.20964135951252</v>
      </c>
      <c r="G13" s="2"/>
      <c r="AB13"/>
    </row>
    <row r="14" spans="1:28" s="1" customFormat="1" ht="12.75">
      <c r="A14" s="4">
        <v>3</v>
      </c>
      <c r="B14" s="4" t="s">
        <v>176</v>
      </c>
      <c r="C14" s="15">
        <v>0.1</v>
      </c>
      <c r="D14" s="14">
        <v>42</v>
      </c>
      <c r="AB14"/>
    </row>
    <row r="15" spans="1:28" s="1" customFormat="1" ht="12.75">
      <c r="A15" s="4">
        <v>4</v>
      </c>
      <c r="B15" s="4" t="s">
        <v>5</v>
      </c>
      <c r="C15" s="4"/>
      <c r="D15" s="14">
        <f>D9+D13+D14</f>
        <v>594.7448776492892</v>
      </c>
      <c r="AB15"/>
    </row>
    <row r="16" spans="1:28" s="1" customFormat="1" ht="12.75">
      <c r="A16" s="4">
        <v>5</v>
      </c>
      <c r="B16" s="4" t="s">
        <v>14</v>
      </c>
      <c r="C16" s="4">
        <v>1.81</v>
      </c>
      <c r="D16" s="14">
        <f>D9*C16</f>
        <v>768.4087776844957</v>
      </c>
      <c r="AB16"/>
    </row>
    <row r="17" spans="1:28" s="1" customFormat="1" ht="12.75">
      <c r="A17" s="4">
        <v>6</v>
      </c>
      <c r="B17" s="4" t="s">
        <v>6</v>
      </c>
      <c r="C17" s="4"/>
      <c r="D17" s="14">
        <f>D15+D16</f>
        <v>1363.1536553337849</v>
      </c>
      <c r="AB17"/>
    </row>
    <row r="18" spans="1:28" s="1" customFormat="1" ht="12.75">
      <c r="A18" s="4">
        <v>7</v>
      </c>
      <c r="B18" s="4" t="s">
        <v>49</v>
      </c>
      <c r="C18" s="15">
        <v>0.4</v>
      </c>
      <c r="D18" s="14">
        <f>D17*C18</f>
        <v>545.261462133514</v>
      </c>
      <c r="AB18"/>
    </row>
    <row r="19" spans="1:28" s="1" customFormat="1" ht="12.75">
      <c r="A19" s="4">
        <v>8</v>
      </c>
      <c r="B19" s="4" t="s">
        <v>8</v>
      </c>
      <c r="C19" s="4"/>
      <c r="D19" s="14">
        <f>D17+D18</f>
        <v>1908.4151174672988</v>
      </c>
      <c r="AB19"/>
    </row>
    <row r="21" spans="1:28" s="1" customFormat="1" ht="12.75">
      <c r="A21" s="41" t="s">
        <v>232</v>
      </c>
      <c r="B21" s="41"/>
      <c r="C21" s="41"/>
      <c r="D21" s="41"/>
      <c r="AB21"/>
    </row>
    <row r="22" spans="1:4" ht="12.75">
      <c r="A22" s="41"/>
      <c r="B22" s="41"/>
      <c r="C22" s="41"/>
      <c r="D22" s="41"/>
    </row>
    <row r="23" ht="13.5" customHeight="1"/>
    <row r="24" spans="1:28" ht="12.75">
      <c r="A24" s="41"/>
      <c r="B24" s="41"/>
      <c r="C24" s="3"/>
      <c r="D24" s="41"/>
      <c r="E24" s="41"/>
      <c r="AB24" s="1"/>
    </row>
    <row r="25" ht="12.75">
      <c r="AB25" s="1"/>
    </row>
    <row r="26" ht="12.75">
      <c r="AB26" s="1"/>
    </row>
    <row r="27" spans="1:28" ht="12.75" customHeight="1">
      <c r="A27" s="41"/>
      <c r="B27" s="41"/>
      <c r="C27" s="41"/>
      <c r="AB27" s="1"/>
    </row>
  </sheetData>
  <sheetProtection/>
  <mergeCells count="11">
    <mergeCell ref="D1:E1"/>
    <mergeCell ref="A2:D2"/>
    <mergeCell ref="A3:D3"/>
    <mergeCell ref="A4:D4"/>
    <mergeCell ref="A5:E5"/>
    <mergeCell ref="A6:D6"/>
    <mergeCell ref="A21:D21"/>
    <mergeCell ref="A22:D22"/>
    <mergeCell ref="A24:B24"/>
    <mergeCell ref="D24:E24"/>
    <mergeCell ref="A27:C27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Normal="120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6.625" style="1" customWidth="1"/>
    <col min="2" max="2" width="35.25390625" style="1" customWidth="1"/>
    <col min="3" max="3" width="26.375" style="1" customWidth="1"/>
    <col min="4" max="4" width="16.00390625" style="1" customWidth="1"/>
    <col min="5" max="5" width="14.25390625" style="1" customWidth="1"/>
    <col min="6" max="27" width="9.25390625" style="1" customWidth="1"/>
  </cols>
  <sheetData>
    <row r="1" spans="3:4" ht="73.5" customHeight="1">
      <c r="C1" s="41" t="s">
        <v>251</v>
      </c>
      <c r="D1" s="41"/>
    </row>
    <row r="2" spans="1:4" ht="12.75">
      <c r="A2" s="54" t="s">
        <v>11</v>
      </c>
      <c r="B2" s="54"/>
      <c r="C2" s="54"/>
      <c r="D2" s="54"/>
    </row>
    <row r="3" spans="1:4" ht="27.75" customHeight="1">
      <c r="A3" s="54" t="s">
        <v>236</v>
      </c>
      <c r="B3" s="54"/>
      <c r="C3" s="54"/>
      <c r="D3" s="54"/>
    </row>
    <row r="4" spans="1:4" ht="12.75" customHeight="1">
      <c r="A4" s="54" t="s">
        <v>244</v>
      </c>
      <c r="B4" s="54"/>
      <c r="C4" s="54"/>
      <c r="D4" s="54"/>
    </row>
    <row r="5" spans="1:4" ht="12.75">
      <c r="A5" s="54" t="s">
        <v>170</v>
      </c>
      <c r="B5" s="54"/>
      <c r="C5" s="54"/>
      <c r="D5" s="54"/>
    </row>
    <row r="6" ht="12.75">
      <c r="E6" s="1" t="s">
        <v>9</v>
      </c>
    </row>
    <row r="7" spans="1:7" ht="62.25" customHeight="1">
      <c r="A7" s="4" t="s">
        <v>0</v>
      </c>
      <c r="B7" s="4" t="s">
        <v>1</v>
      </c>
      <c r="C7" s="4" t="s">
        <v>13</v>
      </c>
      <c r="D7" s="4" t="s">
        <v>181</v>
      </c>
      <c r="G7" s="1" t="s">
        <v>9</v>
      </c>
    </row>
    <row r="8" spans="1:4" ht="12.75">
      <c r="A8" s="4">
        <v>1</v>
      </c>
      <c r="B8" s="4" t="s">
        <v>3</v>
      </c>
      <c r="C8" s="4"/>
      <c r="D8" s="14">
        <f>SUM(D9:D13)</f>
        <v>606.7044637779283</v>
      </c>
    </row>
    <row r="9" spans="1:4" ht="36.75" customHeight="1">
      <c r="A9" s="4"/>
      <c r="B9" s="7" t="s">
        <v>84</v>
      </c>
      <c r="C9" s="4" t="s">
        <v>218</v>
      </c>
      <c r="D9" s="14">
        <f>13341.51*1.1*1.7/(1772.4/12)</f>
        <v>168.91417535545025</v>
      </c>
    </row>
    <row r="10" spans="1:4" ht="12.75">
      <c r="A10" s="4"/>
      <c r="B10" s="7" t="s">
        <v>85</v>
      </c>
      <c r="C10" s="4" t="s">
        <v>219</v>
      </c>
      <c r="D10" s="14">
        <f>9608.56*1.1*2.2/(1772.4/12)</f>
        <v>157.43205958023023</v>
      </c>
    </row>
    <row r="11" spans="1:4" ht="12.75">
      <c r="A11" s="4"/>
      <c r="B11" s="7" t="s">
        <v>85</v>
      </c>
      <c r="C11" s="4" t="s">
        <v>219</v>
      </c>
      <c r="D11" s="14">
        <f>9608.56*1.1*2.2/(1772.4/12)</f>
        <v>157.43205958023023</v>
      </c>
    </row>
    <row r="12" spans="1:4" ht="12.75">
      <c r="A12" s="4"/>
      <c r="B12" s="7" t="s">
        <v>86</v>
      </c>
      <c r="C12" s="4" t="s">
        <v>234</v>
      </c>
      <c r="D12" s="14">
        <f>5209.36*1.1*2.2/(1772.4/12)</f>
        <v>85.35308869329722</v>
      </c>
    </row>
    <row r="13" spans="1:4" ht="12.75">
      <c r="A13" s="4"/>
      <c r="B13" s="7" t="s">
        <v>87</v>
      </c>
      <c r="C13" s="4" t="s">
        <v>235</v>
      </c>
      <c r="D13" s="14">
        <f>2293.2*1.1*2.2/(1772.4/12)</f>
        <v>37.57308056872038</v>
      </c>
    </row>
    <row r="14" spans="1:7" ht="25.5">
      <c r="A14" s="4">
        <v>2</v>
      </c>
      <c r="B14" s="4" t="s">
        <v>12</v>
      </c>
      <c r="C14" s="13">
        <v>0.302</v>
      </c>
      <c r="D14" s="14">
        <f>D8*C14</f>
        <v>183.22474806093433</v>
      </c>
      <c r="G14" s="2"/>
    </row>
    <row r="15" spans="1:4" ht="12.75">
      <c r="A15" s="4">
        <v>3</v>
      </c>
      <c r="B15" s="4" t="s">
        <v>4</v>
      </c>
      <c r="C15" s="4"/>
      <c r="D15" s="14">
        <f>SUM(D17:D17)</f>
        <v>800</v>
      </c>
    </row>
    <row r="16" spans="1:4" ht="12.75">
      <c r="A16" s="4">
        <v>4</v>
      </c>
      <c r="B16" s="4" t="s">
        <v>233</v>
      </c>
      <c r="C16" s="15">
        <v>0.1</v>
      </c>
      <c r="D16" s="14">
        <f>D8*C16</f>
        <v>60.67044637779283</v>
      </c>
    </row>
    <row r="17" spans="1:4" ht="30" customHeight="1">
      <c r="A17" s="4"/>
      <c r="B17" s="7" t="s">
        <v>79</v>
      </c>
      <c r="C17" s="4"/>
      <c r="D17" s="14">
        <v>800</v>
      </c>
    </row>
    <row r="18" spans="1:4" ht="12.75">
      <c r="A18" s="4">
        <v>5</v>
      </c>
      <c r="B18" s="4" t="s">
        <v>5</v>
      </c>
      <c r="C18" s="4"/>
      <c r="D18" s="14">
        <f>D8+D14+D15</f>
        <v>1589.9292118388626</v>
      </c>
    </row>
    <row r="19" spans="1:4" ht="12.75">
      <c r="A19" s="4">
        <v>6</v>
      </c>
      <c r="B19" s="4" t="s">
        <v>14</v>
      </c>
      <c r="C19" s="4">
        <v>1.81</v>
      </c>
      <c r="D19" s="14">
        <f>D8*C19</f>
        <v>1098.13507943805</v>
      </c>
    </row>
    <row r="20" spans="1:4" ht="12.75">
      <c r="A20" s="4">
        <v>7</v>
      </c>
      <c r="B20" s="4" t="s">
        <v>6</v>
      </c>
      <c r="C20" s="4"/>
      <c r="D20" s="14">
        <f>D18+D19</f>
        <v>2688.0642912769126</v>
      </c>
    </row>
    <row r="21" spans="1:4" ht="12.75">
      <c r="A21" s="4">
        <v>8</v>
      </c>
      <c r="B21" s="4" t="s">
        <v>49</v>
      </c>
      <c r="C21" s="15">
        <v>0.34</v>
      </c>
      <c r="D21" s="14">
        <f>D20*0.34</f>
        <v>913.9418590341504</v>
      </c>
    </row>
    <row r="22" spans="1:4" ht="12.75">
      <c r="A22" s="4">
        <v>9</v>
      </c>
      <c r="B22" s="4" t="s">
        <v>171</v>
      </c>
      <c r="C22" s="4"/>
      <c r="D22" s="14">
        <f>D20+D21</f>
        <v>3602.006150311063</v>
      </c>
    </row>
    <row r="23" spans="1:4" ht="12.75">
      <c r="A23" s="4">
        <v>10</v>
      </c>
      <c r="B23" s="4" t="s">
        <v>172</v>
      </c>
      <c r="C23" s="4"/>
      <c r="D23" s="14">
        <f>D22/4</f>
        <v>900.5015375777657</v>
      </c>
    </row>
    <row r="25" spans="1:4" ht="12.75">
      <c r="A25" s="41" t="s">
        <v>173</v>
      </c>
      <c r="B25" s="41"/>
      <c r="C25" s="41"/>
      <c r="D25" s="41"/>
    </row>
    <row r="28" spans="1:4" ht="12.75">
      <c r="A28" s="41"/>
      <c r="B28" s="41"/>
      <c r="C28" s="3"/>
      <c r="D28" s="3"/>
    </row>
    <row r="31" spans="1:3" ht="12.75" customHeight="1">
      <c r="A31" s="41"/>
      <c r="B31" s="41"/>
      <c r="C31" s="41"/>
    </row>
  </sheetData>
  <sheetProtection/>
  <mergeCells count="8">
    <mergeCell ref="C1:D1"/>
    <mergeCell ref="A28:B28"/>
    <mergeCell ref="A25:D25"/>
    <mergeCell ref="A5:D5"/>
    <mergeCell ref="A31:C31"/>
    <mergeCell ref="A4:D4"/>
    <mergeCell ref="A2:D2"/>
    <mergeCell ref="A3:D3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view="pageBreakPreview" zoomScaleNormal="120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7.25390625" style="1" customWidth="1"/>
    <col min="2" max="2" width="37.375" style="1" customWidth="1"/>
    <col min="3" max="3" width="23.25390625" style="1" customWidth="1"/>
    <col min="4" max="4" width="13.625" style="1" customWidth="1"/>
    <col min="5" max="5" width="14.25390625" style="1" customWidth="1"/>
    <col min="6" max="27" width="9.25390625" style="1" customWidth="1"/>
  </cols>
  <sheetData>
    <row r="1" spans="3:4" ht="83.25" customHeight="1">
      <c r="C1" s="41" t="s">
        <v>252</v>
      </c>
      <c r="D1" s="41"/>
    </row>
    <row r="2" spans="1:4" ht="12.75">
      <c r="A2" s="54" t="s">
        <v>11</v>
      </c>
      <c r="B2" s="54"/>
      <c r="C2" s="54"/>
      <c r="D2" s="54"/>
    </row>
    <row r="3" spans="1:4" ht="27" customHeight="1">
      <c r="A3" s="54" t="s">
        <v>164</v>
      </c>
      <c r="B3" s="54"/>
      <c r="C3" s="54"/>
      <c r="D3" s="54"/>
    </row>
    <row r="4" spans="1:4" ht="12.75" customHeight="1">
      <c r="A4" s="54" t="s">
        <v>244</v>
      </c>
      <c r="B4" s="54"/>
      <c r="C4" s="54"/>
      <c r="D4" s="54"/>
    </row>
    <row r="5" spans="1:4" ht="12.75">
      <c r="A5" s="54" t="s">
        <v>174</v>
      </c>
      <c r="B5" s="54"/>
      <c r="C5" s="54"/>
      <c r="D5" s="54"/>
    </row>
    <row r="6" ht="12.75">
      <c r="E6" s="1" t="s">
        <v>9</v>
      </c>
    </row>
    <row r="7" spans="1:4" ht="39" customHeight="1">
      <c r="A7" s="4" t="s">
        <v>0</v>
      </c>
      <c r="B7" s="4" t="s">
        <v>1</v>
      </c>
      <c r="C7" s="4" t="s">
        <v>13</v>
      </c>
      <c r="D7" s="4" t="s">
        <v>2</v>
      </c>
    </row>
    <row r="8" spans="1:4" ht="12.75">
      <c r="A8" s="4">
        <v>1</v>
      </c>
      <c r="B8" s="4" t="s">
        <v>3</v>
      </c>
      <c r="C8" s="4"/>
      <c r="D8" s="14">
        <f>SUM(D9:D11)</f>
        <v>314.56204739336494</v>
      </c>
    </row>
    <row r="9" spans="1:4" ht="25.5">
      <c r="A9" s="4"/>
      <c r="B9" s="7" t="s">
        <v>84</v>
      </c>
      <c r="C9" s="4" t="s">
        <v>218</v>
      </c>
      <c r="D9" s="14">
        <f>15136.16*1.1*1.7/(1772.4/12)</f>
        <v>191.6358781313473</v>
      </c>
    </row>
    <row r="10" spans="1:4" ht="12.75">
      <c r="A10" s="4"/>
      <c r="B10" s="7" t="s">
        <v>86</v>
      </c>
      <c r="C10" s="4" t="s">
        <v>220</v>
      </c>
      <c r="D10" s="14">
        <f>5209.36*1.1*2.2/(1772.4/12)</f>
        <v>85.35308869329722</v>
      </c>
    </row>
    <row r="11" spans="1:4" ht="12.75">
      <c r="A11" s="4"/>
      <c r="B11" s="7" t="s">
        <v>87</v>
      </c>
      <c r="C11" s="4" t="s">
        <v>221</v>
      </c>
      <c r="D11" s="14">
        <f>2293.2*1.1*2.2/(1772.4/12)</f>
        <v>37.57308056872038</v>
      </c>
    </row>
    <row r="12" spans="1:7" ht="12.75">
      <c r="A12" s="4">
        <v>2</v>
      </c>
      <c r="B12" s="4" t="s">
        <v>12</v>
      </c>
      <c r="C12" s="13">
        <v>0.302</v>
      </c>
      <c r="D12" s="14">
        <f>D8*C12</f>
        <v>94.9977383127962</v>
      </c>
      <c r="G12" s="2"/>
    </row>
    <row r="13" spans="1:4" ht="12.75">
      <c r="A13" s="4">
        <v>3</v>
      </c>
      <c r="B13" s="4" t="s">
        <v>4</v>
      </c>
      <c r="C13" s="4"/>
      <c r="D13" s="14">
        <f>D14</f>
        <v>400</v>
      </c>
    </row>
    <row r="14" spans="1:4" ht="12.75">
      <c r="A14" s="4"/>
      <c r="B14" s="7" t="s">
        <v>79</v>
      </c>
      <c r="C14" s="4"/>
      <c r="D14" s="4">
        <v>400</v>
      </c>
    </row>
    <row r="15" spans="1:4" ht="12.75">
      <c r="A15" s="4">
        <v>4</v>
      </c>
      <c r="B15" s="4" t="s">
        <v>5</v>
      </c>
      <c r="C15" s="4"/>
      <c r="D15" s="14">
        <f>D8+D12+D13</f>
        <v>809.5597857061612</v>
      </c>
    </row>
    <row r="16" spans="1:4" ht="12.75">
      <c r="A16" s="4">
        <v>5</v>
      </c>
      <c r="B16" s="4" t="s">
        <v>50</v>
      </c>
      <c r="C16" s="4">
        <v>1.81</v>
      </c>
      <c r="D16" s="14">
        <f>D8*C16</f>
        <v>569.3573057819906</v>
      </c>
    </row>
    <row r="17" spans="1:4" ht="12.75">
      <c r="A17" s="4">
        <v>6</v>
      </c>
      <c r="B17" s="4" t="s">
        <v>6</v>
      </c>
      <c r="C17" s="4"/>
      <c r="D17" s="14">
        <f>D15+D16</f>
        <v>1378.9170914881518</v>
      </c>
    </row>
    <row r="18" spans="1:4" ht="12.75">
      <c r="A18" s="4">
        <v>7</v>
      </c>
      <c r="B18" s="4" t="s">
        <v>49</v>
      </c>
      <c r="C18" s="15">
        <v>0.17</v>
      </c>
      <c r="D18" s="14">
        <f>D17*C18</f>
        <v>234.4159055529858</v>
      </c>
    </row>
    <row r="19" spans="1:4" ht="12.75">
      <c r="A19" s="4">
        <v>8</v>
      </c>
      <c r="B19" s="4" t="s">
        <v>171</v>
      </c>
      <c r="C19" s="4"/>
      <c r="D19" s="14">
        <f>D17+D18</f>
        <v>1613.3329970411376</v>
      </c>
    </row>
    <row r="20" spans="1:4" ht="12.75">
      <c r="A20" s="4">
        <v>9</v>
      </c>
      <c r="B20" s="4" t="s">
        <v>172</v>
      </c>
      <c r="C20" s="4"/>
      <c r="D20" s="14">
        <f>D19/4</f>
        <v>403.3332492602844</v>
      </c>
    </row>
    <row r="22" spans="1:4" ht="12.75">
      <c r="A22" s="41" t="s">
        <v>175</v>
      </c>
      <c r="B22" s="41"/>
      <c r="C22" s="41"/>
      <c r="D22" s="41"/>
    </row>
    <row r="25" spans="1:4" ht="12.75">
      <c r="A25" s="41"/>
      <c r="B25" s="41"/>
      <c r="C25" s="3"/>
      <c r="D25" s="3"/>
    </row>
    <row r="28" spans="1:3" ht="12.75" customHeight="1">
      <c r="A28" s="41"/>
      <c r="B28" s="41"/>
      <c r="C28" s="41"/>
    </row>
  </sheetData>
  <sheetProtection/>
  <mergeCells count="8">
    <mergeCell ref="C1:D1"/>
    <mergeCell ref="A2:D2"/>
    <mergeCell ref="A28:C28"/>
    <mergeCell ref="A3:D3"/>
    <mergeCell ref="A22:D22"/>
    <mergeCell ref="A25:B25"/>
    <mergeCell ref="A4:D4"/>
    <mergeCell ref="A5:D5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8"/>
  <sheetViews>
    <sheetView view="pageBreakPreview" zoomScaleNormal="90" zoomScaleSheetLayoutView="100" workbookViewId="0" topLeftCell="A1">
      <selection activeCell="A4" sqref="A4:D4"/>
    </sheetView>
  </sheetViews>
  <sheetFormatPr defaultColWidth="9.00390625" defaultRowHeight="12.75"/>
  <cols>
    <col min="1" max="1" width="6.625" style="1" customWidth="1"/>
    <col min="2" max="2" width="38.625" style="1" customWidth="1"/>
    <col min="3" max="3" width="24.75390625" style="1" customWidth="1"/>
    <col min="4" max="4" width="13.625" style="1" customWidth="1"/>
    <col min="5" max="5" width="14.25390625" style="1" customWidth="1"/>
    <col min="6" max="6" width="10.75390625" style="1" bestFit="1" customWidth="1"/>
    <col min="7" max="27" width="9.25390625" style="1" customWidth="1"/>
  </cols>
  <sheetData>
    <row r="1" spans="3:4" ht="75.75" customHeight="1">
      <c r="C1" s="41" t="s">
        <v>253</v>
      </c>
      <c r="D1" s="41"/>
    </row>
    <row r="2" spans="1:4" ht="12.75">
      <c r="A2" s="54" t="s">
        <v>11</v>
      </c>
      <c r="B2" s="54"/>
      <c r="C2" s="54"/>
      <c r="D2" s="54"/>
    </row>
    <row r="3" spans="1:4" ht="27" customHeight="1">
      <c r="A3" s="54" t="s">
        <v>164</v>
      </c>
      <c r="B3" s="54"/>
      <c r="C3" s="54"/>
      <c r="D3" s="54"/>
    </row>
    <row r="4" spans="1:4" ht="12.75" customHeight="1">
      <c r="A4" s="54" t="s">
        <v>244</v>
      </c>
      <c r="B4" s="54"/>
      <c r="C4" s="54"/>
      <c r="D4" s="54"/>
    </row>
    <row r="5" spans="1:4" ht="12.75">
      <c r="A5" s="54" t="s">
        <v>180</v>
      </c>
      <c r="B5" s="54"/>
      <c r="C5" s="54"/>
      <c r="D5" s="54"/>
    </row>
    <row r="6" ht="12.75">
      <c r="E6" s="1" t="s">
        <v>9</v>
      </c>
    </row>
    <row r="7" spans="1:6" ht="39" customHeight="1">
      <c r="A7" s="4" t="s">
        <v>0</v>
      </c>
      <c r="B7" s="4" t="s">
        <v>1</v>
      </c>
      <c r="C7" s="4" t="s">
        <v>13</v>
      </c>
      <c r="D7" s="4" t="s">
        <v>2</v>
      </c>
      <c r="F7" s="10"/>
    </row>
    <row r="8" spans="1:7" ht="12.75">
      <c r="A8" s="4">
        <v>1</v>
      </c>
      <c r="B8" s="4" t="s">
        <v>3</v>
      </c>
      <c r="C8" s="4"/>
      <c r="D8" s="14">
        <f>SUM(D9:D11)</f>
        <v>314.5620473933649</v>
      </c>
      <c r="F8" s="10"/>
      <c r="G8" s="1" t="s">
        <v>68</v>
      </c>
    </row>
    <row r="9" spans="1:6" ht="25.5">
      <c r="A9" s="4"/>
      <c r="B9" s="7" t="s">
        <v>84</v>
      </c>
      <c r="C9" s="4" t="s">
        <v>218</v>
      </c>
      <c r="D9" s="14">
        <f>15136.16*1.1*1.7/(1772.4/12)</f>
        <v>191.6358781313473</v>
      </c>
      <c r="F9" s="10"/>
    </row>
    <row r="10" spans="1:6" ht="12.75">
      <c r="A10" s="4"/>
      <c r="B10" s="7" t="s">
        <v>237</v>
      </c>
      <c r="C10" s="4" t="s">
        <v>235</v>
      </c>
      <c r="D10" s="14">
        <f>2293.2*1.1*2.2/(1772.4/12)</f>
        <v>37.57308056872038</v>
      </c>
      <c r="F10" s="10"/>
    </row>
    <row r="11" spans="1:6" ht="12.75">
      <c r="A11" s="4"/>
      <c r="B11" s="7" t="s">
        <v>86</v>
      </c>
      <c r="C11" s="4" t="s">
        <v>220</v>
      </c>
      <c r="D11" s="14">
        <f>5209.36*1.1*2.2/(1772.4/12)</f>
        <v>85.35308869329722</v>
      </c>
      <c r="F11" s="10"/>
    </row>
    <row r="12" spans="1:7" ht="12.75">
      <c r="A12" s="4">
        <v>2</v>
      </c>
      <c r="B12" s="4" t="s">
        <v>12</v>
      </c>
      <c r="C12" s="13">
        <v>0.302</v>
      </c>
      <c r="D12" s="14">
        <f>D8*C12</f>
        <v>94.99773831279619</v>
      </c>
      <c r="G12" s="2"/>
    </row>
    <row r="13" spans="1:7" ht="12.75">
      <c r="A13" s="4">
        <v>3</v>
      </c>
      <c r="B13" s="4" t="s">
        <v>4</v>
      </c>
      <c r="C13" s="4"/>
      <c r="D13" s="4">
        <f>SUM(D14:D14)</f>
        <v>300</v>
      </c>
      <c r="G13" s="2"/>
    </row>
    <row r="14" spans="1:7" ht="12.75">
      <c r="A14" s="4"/>
      <c r="B14" s="7" t="s">
        <v>51</v>
      </c>
      <c r="C14" s="4"/>
      <c r="D14" s="4">
        <v>300</v>
      </c>
      <c r="G14" s="2"/>
    </row>
    <row r="15" spans="1:4" ht="12.75">
      <c r="A15" s="4">
        <v>4</v>
      </c>
      <c r="B15" s="4" t="s">
        <v>5</v>
      </c>
      <c r="C15" s="4"/>
      <c r="D15" s="14">
        <f>D8+D12+D13</f>
        <v>709.559785706161</v>
      </c>
    </row>
    <row r="16" spans="1:4" ht="12.75">
      <c r="A16" s="4">
        <v>5</v>
      </c>
      <c r="B16" s="4" t="s">
        <v>14</v>
      </c>
      <c r="C16" s="4">
        <v>1.81</v>
      </c>
      <c r="D16" s="14">
        <f>D8*C16</f>
        <v>569.3573057819905</v>
      </c>
    </row>
    <row r="17" spans="1:4" ht="12.75">
      <c r="A17" s="4">
        <v>6</v>
      </c>
      <c r="B17" s="4" t="s">
        <v>6</v>
      </c>
      <c r="C17" s="4"/>
      <c r="D17" s="14">
        <f>D15+D16</f>
        <v>1278.9170914881515</v>
      </c>
    </row>
    <row r="18" spans="1:4" ht="12.75">
      <c r="A18" s="4">
        <v>7</v>
      </c>
      <c r="B18" s="4" t="s">
        <v>49</v>
      </c>
      <c r="C18" s="15">
        <v>0.25</v>
      </c>
      <c r="D18" s="14">
        <f>D17*0.25</f>
        <v>319.7292728720379</v>
      </c>
    </row>
    <row r="19" spans="1:4" ht="12.75">
      <c r="A19" s="4">
        <v>8</v>
      </c>
      <c r="B19" s="4" t="s">
        <v>171</v>
      </c>
      <c r="C19" s="4"/>
      <c r="D19" s="14">
        <f>D17+D18</f>
        <v>1598.6463643601894</v>
      </c>
    </row>
    <row r="20" spans="1:4" ht="12.75">
      <c r="A20" s="4">
        <v>9</v>
      </c>
      <c r="B20" s="4" t="s">
        <v>172</v>
      </c>
      <c r="C20" s="4"/>
      <c r="D20" s="14">
        <f>D19/4</f>
        <v>399.66159109004735</v>
      </c>
    </row>
    <row r="22" spans="1:4" ht="12.75">
      <c r="A22" s="41" t="s">
        <v>175</v>
      </c>
      <c r="B22" s="41"/>
      <c r="C22" s="41"/>
      <c r="D22" s="41"/>
    </row>
    <row r="25" spans="1:4" ht="12.75">
      <c r="A25" s="41"/>
      <c r="B25" s="41"/>
      <c r="C25" s="3"/>
      <c r="D25" s="3"/>
    </row>
    <row r="28" spans="1:3" ht="12.75" customHeight="1">
      <c r="A28" s="41"/>
      <c r="B28" s="41"/>
      <c r="C28" s="41"/>
    </row>
  </sheetData>
  <sheetProtection/>
  <mergeCells count="8">
    <mergeCell ref="C1:D1"/>
    <mergeCell ref="A28:C28"/>
    <mergeCell ref="A22:D22"/>
    <mergeCell ref="A25:B25"/>
    <mergeCell ref="A4:D4"/>
    <mergeCell ref="A5:D5"/>
    <mergeCell ref="A2:D2"/>
    <mergeCell ref="A3:D3"/>
  </mergeCells>
  <printOptions horizontalCentered="1"/>
  <pageMargins left="0.3937007874015748" right="0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1"/>
  <sheetViews>
    <sheetView view="pageBreakPreview" zoomScale="84" zoomScaleNormal="120" zoomScaleSheetLayoutView="84" zoomScalePageLayoutView="0" workbookViewId="0" topLeftCell="A1">
      <selection activeCell="A5" sqref="A5:E5"/>
    </sheetView>
  </sheetViews>
  <sheetFormatPr defaultColWidth="9.00390625" defaultRowHeight="12.75"/>
  <cols>
    <col min="1" max="1" width="6.25390625" style="1" customWidth="1"/>
    <col min="2" max="2" width="43.00390625" style="1" customWidth="1"/>
    <col min="3" max="3" width="23.25390625" style="1" customWidth="1"/>
    <col min="4" max="4" width="13.625" style="1" customWidth="1"/>
    <col min="5" max="5" width="14.25390625" style="1" customWidth="1"/>
    <col min="6" max="6" width="9.75390625" style="1" bestFit="1" customWidth="1"/>
    <col min="7" max="27" width="9.25390625" style="1" customWidth="1"/>
  </cols>
  <sheetData>
    <row r="1" spans="4:5" ht="103.5" customHeight="1">
      <c r="D1" s="41" t="s">
        <v>254</v>
      </c>
      <c r="E1" s="41"/>
    </row>
    <row r="2" spans="1:4" ht="12.75">
      <c r="A2" s="54" t="s">
        <v>11</v>
      </c>
      <c r="B2" s="54"/>
      <c r="C2" s="54"/>
      <c r="D2" s="54"/>
    </row>
    <row r="3" spans="1:4" ht="12.75">
      <c r="A3" s="54" t="s">
        <v>186</v>
      </c>
      <c r="B3" s="54"/>
      <c r="C3" s="54"/>
      <c r="D3" s="54"/>
    </row>
    <row r="4" spans="1:4" ht="12.75">
      <c r="A4" s="54"/>
      <c r="B4" s="54"/>
      <c r="C4" s="54"/>
      <c r="D4" s="54"/>
    </row>
    <row r="5" spans="1:5" ht="12.75" customHeight="1">
      <c r="A5" s="54" t="s">
        <v>244</v>
      </c>
      <c r="B5" s="54"/>
      <c r="C5" s="54"/>
      <c r="D5" s="54"/>
      <c r="E5" s="54"/>
    </row>
    <row r="6" spans="1:4" ht="12.75">
      <c r="A6" s="54" t="s">
        <v>238</v>
      </c>
      <c r="B6" s="54"/>
      <c r="C6" s="54"/>
      <c r="D6" s="54"/>
    </row>
    <row r="7" ht="12.75">
      <c r="E7" s="1" t="s">
        <v>9</v>
      </c>
    </row>
    <row r="8" spans="1:4" ht="39" customHeight="1">
      <c r="A8" s="4" t="s">
        <v>0</v>
      </c>
      <c r="B8" s="4" t="s">
        <v>1</v>
      </c>
      <c r="C8" s="4" t="s">
        <v>13</v>
      </c>
      <c r="D8" s="4" t="s">
        <v>2</v>
      </c>
    </row>
    <row r="9" spans="1:4" ht="12.75">
      <c r="A9" s="4">
        <v>1</v>
      </c>
      <c r="B9" s="4" t="s">
        <v>3</v>
      </c>
      <c r="C9" s="4"/>
      <c r="D9" s="14">
        <f>SUM(D10:D11)</f>
        <v>113.82683818551118</v>
      </c>
    </row>
    <row r="10" spans="1:28" s="1" customFormat="1" ht="12.75">
      <c r="A10" s="4"/>
      <c r="B10" s="7" t="s">
        <v>86</v>
      </c>
      <c r="C10" s="4" t="s">
        <v>220</v>
      </c>
      <c r="D10" s="14">
        <f>4654*1.1*2.2/(1772.4/12)</f>
        <v>76.2537576167908</v>
      </c>
      <c r="AB10"/>
    </row>
    <row r="11" spans="1:28" s="1" customFormat="1" ht="12.75">
      <c r="A11" s="4"/>
      <c r="B11" s="7" t="s">
        <v>87</v>
      </c>
      <c r="C11" s="4" t="s">
        <v>221</v>
      </c>
      <c r="D11" s="14">
        <f>2293.2*1.1*2.2/(1772.4/12)</f>
        <v>37.57308056872038</v>
      </c>
      <c r="AB11"/>
    </row>
    <row r="12" spans="1:28" s="1" customFormat="1" ht="12.75">
      <c r="A12" s="4">
        <v>2</v>
      </c>
      <c r="B12" s="4" t="s">
        <v>12</v>
      </c>
      <c r="C12" s="13">
        <v>0.302</v>
      </c>
      <c r="D12" s="14">
        <f>D9*C12</f>
        <v>34.37570513202437</v>
      </c>
      <c r="G12" s="2"/>
      <c r="AB12"/>
    </row>
    <row r="13" spans="1:28" s="1" customFormat="1" ht="12.75">
      <c r="A13" s="4">
        <v>3</v>
      </c>
      <c r="B13" s="4" t="s">
        <v>176</v>
      </c>
      <c r="C13" s="4"/>
      <c r="D13" s="14">
        <f>SUM(D14:D18)</f>
        <v>2361</v>
      </c>
      <c r="AB13"/>
    </row>
    <row r="14" spans="1:28" s="1" customFormat="1" ht="12.75">
      <c r="A14" s="4"/>
      <c r="B14" s="7" t="s">
        <v>160</v>
      </c>
      <c r="C14" s="4"/>
      <c r="D14" s="14">
        <v>20</v>
      </c>
      <c r="AB14"/>
    </row>
    <row r="15" spans="1:28" s="1" customFormat="1" ht="12.75">
      <c r="A15" s="4"/>
      <c r="B15" s="7" t="s">
        <v>155</v>
      </c>
      <c r="C15" s="4"/>
      <c r="D15" s="14">
        <v>116</v>
      </c>
      <c r="AB15"/>
    </row>
    <row r="16" spans="1:28" s="1" customFormat="1" ht="12.75">
      <c r="A16" s="4"/>
      <c r="B16" s="7" t="s">
        <v>141</v>
      </c>
      <c r="C16" s="4"/>
      <c r="D16" s="14">
        <v>1579</v>
      </c>
      <c r="AB16"/>
    </row>
    <row r="17" spans="1:28" s="1" customFormat="1" ht="12.75">
      <c r="A17" s="4"/>
      <c r="B17" s="7" t="s">
        <v>152</v>
      </c>
      <c r="C17" s="4"/>
      <c r="D17" s="14">
        <v>346</v>
      </c>
      <c r="AB17"/>
    </row>
    <row r="18" spans="1:28" s="1" customFormat="1" ht="12.75">
      <c r="A18" s="4"/>
      <c r="B18" s="7" t="s">
        <v>54</v>
      </c>
      <c r="C18" s="4"/>
      <c r="D18" s="14">
        <v>300</v>
      </c>
      <c r="AB18"/>
    </row>
    <row r="19" spans="1:28" s="1" customFormat="1" ht="12.75">
      <c r="A19" s="4">
        <v>4</v>
      </c>
      <c r="B19" s="4" t="s">
        <v>5</v>
      </c>
      <c r="C19" s="4"/>
      <c r="D19" s="14">
        <f>D9+D12+D13</f>
        <v>2509.2025433175354</v>
      </c>
      <c r="AB19"/>
    </row>
    <row r="20" spans="1:28" s="1" customFormat="1" ht="12.75">
      <c r="A20" s="4">
        <v>5</v>
      </c>
      <c r="B20" s="4" t="s">
        <v>14</v>
      </c>
      <c r="C20" s="4">
        <v>1.81</v>
      </c>
      <c r="D20" s="14">
        <f>D9*C20</f>
        <v>206.02657711577524</v>
      </c>
      <c r="AB20"/>
    </row>
    <row r="21" spans="1:28" s="1" customFormat="1" ht="12.75">
      <c r="A21" s="4">
        <v>6</v>
      </c>
      <c r="B21" s="4" t="s">
        <v>6</v>
      </c>
      <c r="C21" s="4"/>
      <c r="D21" s="14">
        <f>D19+D20</f>
        <v>2715.2291204333105</v>
      </c>
      <c r="AB21"/>
    </row>
    <row r="22" spans="1:28" s="1" customFormat="1" ht="12.75">
      <c r="A22" s="4">
        <v>7</v>
      </c>
      <c r="B22" s="4" t="s">
        <v>49</v>
      </c>
      <c r="C22" s="15">
        <v>0.1</v>
      </c>
      <c r="D22" s="14">
        <f>D21*C22</f>
        <v>271.5229120433311</v>
      </c>
      <c r="AB22"/>
    </row>
    <row r="23" spans="1:28" s="1" customFormat="1" ht="12.75">
      <c r="A23" s="4">
        <v>8</v>
      </c>
      <c r="B23" s="4" t="s">
        <v>8</v>
      </c>
      <c r="C23" s="4"/>
      <c r="D23" s="14">
        <f>D21+D22</f>
        <v>2986.7520324766415</v>
      </c>
      <c r="AB23"/>
    </row>
    <row r="25" spans="1:28" s="1" customFormat="1" ht="12.75">
      <c r="A25" s="41" t="s">
        <v>224</v>
      </c>
      <c r="B25" s="41"/>
      <c r="C25" s="41"/>
      <c r="D25" s="41"/>
      <c r="AB25"/>
    </row>
    <row r="26" spans="1:4" ht="12.75">
      <c r="A26" s="41"/>
      <c r="B26" s="41"/>
      <c r="C26" s="41"/>
      <c r="D26" s="41"/>
    </row>
    <row r="27" ht="13.5" customHeight="1"/>
    <row r="28" spans="1:28" ht="12.75">
      <c r="A28" s="41"/>
      <c r="B28" s="41"/>
      <c r="C28" s="3"/>
      <c r="D28" s="41"/>
      <c r="E28" s="41"/>
      <c r="AB28" s="1"/>
    </row>
    <row r="29" ht="12.75">
      <c r="AB29" s="1"/>
    </row>
    <row r="30" ht="12.75">
      <c r="AB30" s="1"/>
    </row>
    <row r="31" spans="1:28" ht="12.75" customHeight="1">
      <c r="A31" s="41"/>
      <c r="B31" s="41"/>
      <c r="C31" s="41"/>
      <c r="AB31" s="1"/>
    </row>
  </sheetData>
  <sheetProtection/>
  <mergeCells count="11">
    <mergeCell ref="D1:E1"/>
    <mergeCell ref="A2:D2"/>
    <mergeCell ref="A3:D3"/>
    <mergeCell ref="A4:D4"/>
    <mergeCell ref="A5:E5"/>
    <mergeCell ref="A6:D6"/>
    <mergeCell ref="A25:D25"/>
    <mergeCell ref="A26:D26"/>
    <mergeCell ref="A28:B28"/>
    <mergeCell ref="D28:E28"/>
    <mergeCell ref="A31:C31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9"/>
  <sheetViews>
    <sheetView zoomScaleSheetLayoutView="90" workbookViewId="0" topLeftCell="A1">
      <selection activeCell="E1" sqref="E1:F1"/>
    </sheetView>
  </sheetViews>
  <sheetFormatPr defaultColWidth="9.00390625" defaultRowHeight="12.75"/>
  <cols>
    <col min="1" max="1" width="33.75390625" style="1" customWidth="1"/>
    <col min="2" max="4" width="12.75390625" style="1" customWidth="1"/>
    <col min="5" max="6" width="15.75390625" style="1" customWidth="1"/>
    <col min="7" max="7" width="2.75390625" style="1" customWidth="1"/>
    <col min="8" max="8" width="33.625" style="1" hidden="1" customWidth="1"/>
    <col min="9" max="11" width="12.625" style="1" hidden="1" customWidth="1"/>
    <col min="12" max="13" width="15.375" style="1" hidden="1" customWidth="1"/>
    <col min="14" max="14" width="2.625" style="1" hidden="1" customWidth="1"/>
    <col min="15" max="15" width="33.625" style="1" hidden="1" customWidth="1"/>
    <col min="16" max="16" width="12.625" style="1" hidden="1" customWidth="1"/>
    <col min="17" max="18" width="12.625" style="0" hidden="1" customWidth="1"/>
    <col min="19" max="20" width="15.75390625" style="0" hidden="1" customWidth="1"/>
    <col min="21" max="21" width="2.625" style="0" hidden="1" customWidth="1"/>
    <col min="22" max="22" width="33.625" style="0" hidden="1" customWidth="1"/>
    <col min="23" max="25" width="12.625" style="0" hidden="1" customWidth="1"/>
    <col min="26" max="27" width="15.75390625" style="0" hidden="1" customWidth="1"/>
    <col min="28" max="28" width="2.625" style="0" hidden="1" customWidth="1"/>
    <col min="29" max="29" width="33.625" style="0" hidden="1" customWidth="1"/>
    <col min="30" max="32" width="12.625" style="0" hidden="1" customWidth="1"/>
    <col min="33" max="34" width="15.75390625" style="0" hidden="1" customWidth="1"/>
    <col min="35" max="35" width="2.625" style="0" hidden="1" customWidth="1"/>
    <col min="36" max="36" width="33.625" style="0" hidden="1" customWidth="1"/>
    <col min="37" max="39" width="12.625" style="0" hidden="1" customWidth="1"/>
    <col min="40" max="41" width="15.75390625" style="0" hidden="1" customWidth="1"/>
    <col min="42" max="42" width="2.625" style="0" hidden="1" customWidth="1"/>
    <col min="43" max="43" width="33.625" style="0" hidden="1" customWidth="1"/>
    <col min="44" max="46" width="12.625" style="0" hidden="1" customWidth="1"/>
    <col min="47" max="48" width="15.75390625" style="0" hidden="1" customWidth="1"/>
    <col min="49" max="49" width="2.625" style="0" hidden="1" customWidth="1"/>
    <col min="50" max="50" width="33.625" style="30" hidden="1" customWidth="1"/>
    <col min="51" max="53" width="12.625" style="30" hidden="1" customWidth="1"/>
    <col min="54" max="55" width="15.75390625" style="30" hidden="1" customWidth="1"/>
    <col min="56" max="56" width="2.625" style="30" hidden="1" customWidth="1"/>
    <col min="57" max="57" width="33.625" style="30" hidden="1" customWidth="1"/>
    <col min="58" max="60" width="12.625" style="30" hidden="1" customWidth="1"/>
    <col min="61" max="62" width="15.75390625" style="30" hidden="1" customWidth="1"/>
    <col min="63" max="63" width="2.625" style="31" hidden="1" customWidth="1"/>
    <col min="64" max="64" width="33.625" style="0" hidden="1" customWidth="1"/>
    <col min="65" max="67" width="12.625" style="0" hidden="1" customWidth="1"/>
    <col min="68" max="69" width="15.75390625" style="0" hidden="1" customWidth="1"/>
    <col min="70" max="70" width="2.625" style="0" hidden="1" customWidth="1"/>
    <col min="71" max="71" width="33.625" style="0" hidden="1" customWidth="1"/>
    <col min="72" max="74" width="12.625" style="0" hidden="1" customWidth="1"/>
    <col min="75" max="76" width="15.75390625" style="0" hidden="1" customWidth="1"/>
    <col min="77" max="77" width="2.625" style="0" hidden="1" customWidth="1"/>
    <col min="78" max="78" width="33.625" style="0" hidden="1" customWidth="1"/>
    <col min="79" max="81" width="12.625" style="0" hidden="1" customWidth="1"/>
    <col min="82" max="83" width="15.75390625" style="0" hidden="1" customWidth="1"/>
    <col min="84" max="84" width="2.625" style="0" hidden="1" customWidth="1"/>
    <col min="85" max="85" width="33.625" style="0" hidden="1" customWidth="1"/>
    <col min="86" max="88" width="12.625" style="0" hidden="1" customWidth="1"/>
    <col min="89" max="90" width="15.75390625" style="0" hidden="1" customWidth="1"/>
    <col min="91" max="91" width="2.625" style="0" hidden="1" customWidth="1"/>
  </cols>
  <sheetData>
    <row r="1" spans="5:90" ht="75" customHeight="1">
      <c r="E1" s="41" t="s">
        <v>255</v>
      </c>
      <c r="F1" s="41"/>
      <c r="Q1" s="1"/>
      <c r="R1" s="1"/>
      <c r="S1" s="1"/>
      <c r="T1" s="1"/>
      <c r="V1" s="1"/>
      <c r="W1" s="1"/>
      <c r="X1" s="1"/>
      <c r="Y1" s="1"/>
      <c r="Z1" s="1"/>
      <c r="AA1" s="1"/>
      <c r="AC1" s="1"/>
      <c r="AD1" s="1"/>
      <c r="AE1" s="1"/>
      <c r="AF1" s="1"/>
      <c r="AG1" s="1"/>
      <c r="AH1" s="1"/>
      <c r="AJ1" s="1"/>
      <c r="AK1" s="1"/>
      <c r="AL1" s="1"/>
      <c r="AM1" s="1"/>
      <c r="AN1" s="1"/>
      <c r="AO1" s="1"/>
      <c r="AQ1" s="1"/>
      <c r="AR1" s="1"/>
      <c r="AS1" s="1"/>
      <c r="AT1" s="1"/>
      <c r="AU1" s="1"/>
      <c r="AV1" s="1"/>
      <c r="AX1" s="1"/>
      <c r="AY1" s="1"/>
      <c r="AZ1" s="1"/>
      <c r="BA1" s="1"/>
      <c r="BB1" s="1"/>
      <c r="BC1" s="1"/>
      <c r="BE1" s="1"/>
      <c r="BF1" s="1"/>
      <c r="BG1" s="1"/>
      <c r="BH1" s="1"/>
      <c r="BI1" s="1"/>
      <c r="BJ1" s="1"/>
      <c r="BL1" s="1"/>
      <c r="BM1" s="1"/>
      <c r="BN1" s="1"/>
      <c r="BO1" s="1"/>
      <c r="BP1" s="1"/>
      <c r="BQ1" s="1"/>
      <c r="BS1" s="1"/>
      <c r="BT1" s="1"/>
      <c r="BU1" s="1"/>
      <c r="BV1" s="1"/>
      <c r="BW1" s="1"/>
      <c r="BX1" s="1"/>
      <c r="BZ1" s="1"/>
      <c r="CA1" s="1"/>
      <c r="CB1" s="1"/>
      <c r="CC1" s="1"/>
      <c r="CD1" s="1"/>
      <c r="CE1" s="1"/>
      <c r="CG1" s="1"/>
      <c r="CH1" s="1"/>
      <c r="CI1" s="1"/>
      <c r="CJ1" s="1"/>
      <c r="CK1" s="1"/>
      <c r="CL1" s="1"/>
    </row>
    <row r="2" spans="1:90" ht="21" customHeight="1">
      <c r="A2" s="48" t="s">
        <v>13</v>
      </c>
      <c r="B2" s="48"/>
      <c r="C2" s="48"/>
      <c r="D2" s="48"/>
      <c r="E2" s="48"/>
      <c r="F2" s="48"/>
      <c r="H2" s="48" t="s">
        <v>13</v>
      </c>
      <c r="I2" s="48"/>
      <c r="J2" s="48"/>
      <c r="K2" s="48"/>
      <c r="L2" s="48"/>
      <c r="M2" s="48"/>
      <c r="O2" s="48" t="s">
        <v>13</v>
      </c>
      <c r="P2" s="48"/>
      <c r="Q2" s="48"/>
      <c r="R2" s="48"/>
      <c r="S2" s="48"/>
      <c r="T2" s="48"/>
      <c r="V2" s="48" t="s">
        <v>13</v>
      </c>
      <c r="W2" s="48"/>
      <c r="X2" s="48"/>
      <c r="Y2" s="48"/>
      <c r="Z2" s="48"/>
      <c r="AA2" s="48"/>
      <c r="AC2" s="48" t="s">
        <v>13</v>
      </c>
      <c r="AD2" s="48"/>
      <c r="AE2" s="48"/>
      <c r="AF2" s="48"/>
      <c r="AG2" s="48"/>
      <c r="AH2" s="48"/>
      <c r="AJ2" s="48" t="s">
        <v>13</v>
      </c>
      <c r="AK2" s="48"/>
      <c r="AL2" s="48"/>
      <c r="AM2" s="48"/>
      <c r="AN2" s="48"/>
      <c r="AO2" s="48"/>
      <c r="AQ2" s="48" t="s">
        <v>13</v>
      </c>
      <c r="AR2" s="48"/>
      <c r="AS2" s="48"/>
      <c r="AT2" s="48"/>
      <c r="AU2" s="48"/>
      <c r="AV2" s="48"/>
      <c r="AX2" s="48" t="s">
        <v>13</v>
      </c>
      <c r="AY2" s="48"/>
      <c r="AZ2" s="48"/>
      <c r="BA2" s="48"/>
      <c r="BB2" s="48"/>
      <c r="BC2" s="48"/>
      <c r="BE2" s="48" t="s">
        <v>13</v>
      </c>
      <c r="BF2" s="48"/>
      <c r="BG2" s="48"/>
      <c r="BH2" s="48"/>
      <c r="BI2" s="48"/>
      <c r="BJ2" s="48"/>
      <c r="BL2" s="48" t="s">
        <v>13</v>
      </c>
      <c r="BM2" s="48"/>
      <c r="BN2" s="48"/>
      <c r="BO2" s="48"/>
      <c r="BP2" s="48"/>
      <c r="BQ2" s="48"/>
      <c r="BS2" s="48" t="s">
        <v>13</v>
      </c>
      <c r="BT2" s="48"/>
      <c r="BU2" s="48"/>
      <c r="BV2" s="48"/>
      <c r="BW2" s="48"/>
      <c r="BX2" s="48"/>
      <c r="BZ2" s="48" t="s">
        <v>13</v>
      </c>
      <c r="CA2" s="48"/>
      <c r="CB2" s="48"/>
      <c r="CC2" s="48"/>
      <c r="CD2" s="48"/>
      <c r="CE2" s="48"/>
      <c r="CG2" s="48" t="s">
        <v>13</v>
      </c>
      <c r="CH2" s="48"/>
      <c r="CI2" s="48"/>
      <c r="CJ2" s="48"/>
      <c r="CK2" s="48"/>
      <c r="CL2" s="48"/>
    </row>
    <row r="3" spans="1:90" ht="44.25" customHeight="1">
      <c r="A3" s="48" t="s">
        <v>126</v>
      </c>
      <c r="B3" s="48"/>
      <c r="C3" s="48"/>
      <c r="D3" s="48"/>
      <c r="E3" s="48"/>
      <c r="F3" s="48"/>
      <c r="H3" s="48" t="s">
        <v>93</v>
      </c>
      <c r="I3" s="48"/>
      <c r="J3" s="48"/>
      <c r="K3" s="48"/>
      <c r="L3" s="48"/>
      <c r="M3" s="48"/>
      <c r="O3" s="48" t="s">
        <v>93</v>
      </c>
      <c r="P3" s="48"/>
      <c r="Q3" s="48"/>
      <c r="R3" s="48"/>
      <c r="S3" s="48"/>
      <c r="T3" s="48"/>
      <c r="V3" s="48" t="s">
        <v>93</v>
      </c>
      <c r="W3" s="48"/>
      <c r="X3" s="48"/>
      <c r="Y3" s="48"/>
      <c r="Z3" s="48"/>
      <c r="AA3" s="48"/>
      <c r="AC3" s="48" t="s">
        <v>93</v>
      </c>
      <c r="AD3" s="48"/>
      <c r="AE3" s="48"/>
      <c r="AF3" s="48"/>
      <c r="AG3" s="48"/>
      <c r="AH3" s="48"/>
      <c r="AJ3" s="48" t="s">
        <v>93</v>
      </c>
      <c r="AK3" s="48"/>
      <c r="AL3" s="48"/>
      <c r="AM3" s="48"/>
      <c r="AN3" s="48"/>
      <c r="AO3" s="48"/>
      <c r="AQ3" s="48" t="s">
        <v>93</v>
      </c>
      <c r="AR3" s="48"/>
      <c r="AS3" s="48"/>
      <c r="AT3" s="48"/>
      <c r="AU3" s="48"/>
      <c r="AV3" s="48"/>
      <c r="AX3" s="48" t="s">
        <v>93</v>
      </c>
      <c r="AY3" s="48"/>
      <c r="AZ3" s="48"/>
      <c r="BA3" s="48"/>
      <c r="BB3" s="48"/>
      <c r="BC3" s="48"/>
      <c r="BE3" s="48" t="s">
        <v>93</v>
      </c>
      <c r="BF3" s="48"/>
      <c r="BG3" s="48"/>
      <c r="BH3" s="48"/>
      <c r="BI3" s="48"/>
      <c r="BJ3" s="48"/>
      <c r="BL3" s="48" t="s">
        <v>93</v>
      </c>
      <c r="BM3" s="48"/>
      <c r="BN3" s="48"/>
      <c r="BO3" s="48"/>
      <c r="BP3" s="48"/>
      <c r="BQ3" s="48"/>
      <c r="BS3" s="48" t="s">
        <v>93</v>
      </c>
      <c r="BT3" s="48"/>
      <c r="BU3" s="48"/>
      <c r="BV3" s="48"/>
      <c r="BW3" s="48"/>
      <c r="BX3" s="48"/>
      <c r="BZ3" s="48" t="s">
        <v>93</v>
      </c>
      <c r="CA3" s="48"/>
      <c r="CB3" s="48"/>
      <c r="CC3" s="48"/>
      <c r="CD3" s="48"/>
      <c r="CE3" s="48"/>
      <c r="CG3" s="48" t="s">
        <v>93</v>
      </c>
      <c r="CH3" s="48"/>
      <c r="CI3" s="48"/>
      <c r="CJ3" s="48"/>
      <c r="CK3" s="48"/>
      <c r="CL3" s="48"/>
    </row>
    <row r="4" spans="1:90" ht="21" customHeight="1">
      <c r="A4" s="58" t="s">
        <v>127</v>
      </c>
      <c r="B4" s="58"/>
      <c r="C4" s="58"/>
      <c r="D4" s="58"/>
      <c r="E4" s="58"/>
      <c r="F4" s="58"/>
      <c r="H4" s="58" t="s">
        <v>94</v>
      </c>
      <c r="I4" s="58"/>
      <c r="J4" s="58"/>
      <c r="K4" s="58"/>
      <c r="L4" s="58"/>
      <c r="M4" s="58"/>
      <c r="O4" s="58" t="s">
        <v>95</v>
      </c>
      <c r="P4" s="58"/>
      <c r="Q4" s="58"/>
      <c r="R4" s="58"/>
      <c r="S4" s="58"/>
      <c r="T4" s="58"/>
      <c r="V4" s="58" t="s">
        <v>96</v>
      </c>
      <c r="W4" s="58"/>
      <c r="X4" s="58"/>
      <c r="Y4" s="58"/>
      <c r="Z4" s="58"/>
      <c r="AA4" s="58"/>
      <c r="AC4" s="58" t="s">
        <v>97</v>
      </c>
      <c r="AD4" s="58"/>
      <c r="AE4" s="58"/>
      <c r="AF4" s="58"/>
      <c r="AG4" s="58"/>
      <c r="AH4" s="58"/>
      <c r="AJ4" s="58" t="s">
        <v>98</v>
      </c>
      <c r="AK4" s="58"/>
      <c r="AL4" s="58"/>
      <c r="AM4" s="58"/>
      <c r="AN4" s="58"/>
      <c r="AO4" s="58"/>
      <c r="AQ4" s="58" t="s">
        <v>99</v>
      </c>
      <c r="AR4" s="58"/>
      <c r="AS4" s="58"/>
      <c r="AT4" s="58"/>
      <c r="AU4" s="58"/>
      <c r="AV4" s="58"/>
      <c r="AX4" s="58" t="s">
        <v>100</v>
      </c>
      <c r="AY4" s="58"/>
      <c r="AZ4" s="58"/>
      <c r="BA4" s="58"/>
      <c r="BB4" s="58"/>
      <c r="BC4" s="58"/>
      <c r="BE4" s="58" t="s">
        <v>101</v>
      </c>
      <c r="BF4" s="58"/>
      <c r="BG4" s="58"/>
      <c r="BH4" s="58"/>
      <c r="BI4" s="58"/>
      <c r="BJ4" s="58"/>
      <c r="BL4" s="58" t="s">
        <v>102</v>
      </c>
      <c r="BM4" s="58"/>
      <c r="BN4" s="58"/>
      <c r="BO4" s="58"/>
      <c r="BP4" s="58"/>
      <c r="BQ4" s="58"/>
      <c r="BS4" s="58" t="s">
        <v>103</v>
      </c>
      <c r="BT4" s="58"/>
      <c r="BU4" s="58"/>
      <c r="BV4" s="58"/>
      <c r="BW4" s="58"/>
      <c r="BX4" s="58"/>
      <c r="BZ4" s="58" t="s">
        <v>104</v>
      </c>
      <c r="CA4" s="58"/>
      <c r="CB4" s="58"/>
      <c r="CC4" s="58"/>
      <c r="CD4" s="58"/>
      <c r="CE4" s="58"/>
      <c r="CG4" s="58" t="s">
        <v>105</v>
      </c>
      <c r="CH4" s="58"/>
      <c r="CI4" s="58"/>
      <c r="CJ4" s="58"/>
      <c r="CK4" s="58"/>
      <c r="CL4" s="58"/>
    </row>
    <row r="5" spans="1:90" ht="12" customHeight="1">
      <c r="A5" s="57" t="s">
        <v>106</v>
      </c>
      <c r="B5" s="57"/>
      <c r="C5" s="57"/>
      <c r="D5" s="57"/>
      <c r="E5" s="57"/>
      <c r="F5" s="57"/>
      <c r="H5" s="57" t="s">
        <v>106</v>
      </c>
      <c r="I5" s="57"/>
      <c r="J5" s="57"/>
      <c r="K5" s="57"/>
      <c r="L5" s="57"/>
      <c r="M5" s="57"/>
      <c r="O5" s="57" t="s">
        <v>106</v>
      </c>
      <c r="P5" s="57"/>
      <c r="Q5" s="57"/>
      <c r="R5" s="57"/>
      <c r="S5" s="57"/>
      <c r="T5" s="57"/>
      <c r="V5" s="57" t="s">
        <v>106</v>
      </c>
      <c r="W5" s="57"/>
      <c r="X5" s="57"/>
      <c r="Y5" s="57"/>
      <c r="Z5" s="57"/>
      <c r="AA5" s="57"/>
      <c r="AC5" s="57" t="s">
        <v>106</v>
      </c>
      <c r="AD5" s="57"/>
      <c r="AE5" s="57"/>
      <c r="AF5" s="57"/>
      <c r="AG5" s="57"/>
      <c r="AH5" s="57"/>
      <c r="AJ5" s="57" t="s">
        <v>106</v>
      </c>
      <c r="AK5" s="57"/>
      <c r="AL5" s="57"/>
      <c r="AM5" s="57"/>
      <c r="AN5" s="57"/>
      <c r="AO5" s="57"/>
      <c r="AQ5" s="57" t="s">
        <v>106</v>
      </c>
      <c r="AR5" s="57"/>
      <c r="AS5" s="57"/>
      <c r="AT5" s="57"/>
      <c r="AU5" s="57"/>
      <c r="AV5" s="57"/>
      <c r="AX5" s="57" t="s">
        <v>106</v>
      </c>
      <c r="AY5" s="57"/>
      <c r="AZ5" s="57"/>
      <c r="BA5" s="57"/>
      <c r="BB5" s="57"/>
      <c r="BC5" s="57"/>
      <c r="BE5" s="57" t="s">
        <v>106</v>
      </c>
      <c r="BF5" s="57"/>
      <c r="BG5" s="57"/>
      <c r="BH5" s="57"/>
      <c r="BI5" s="57"/>
      <c r="BJ5" s="57"/>
      <c r="BL5" s="57" t="s">
        <v>106</v>
      </c>
      <c r="BM5" s="57"/>
      <c r="BN5" s="57"/>
      <c r="BO5" s="57"/>
      <c r="BP5" s="57"/>
      <c r="BQ5" s="57"/>
      <c r="BS5" s="57" t="s">
        <v>106</v>
      </c>
      <c r="BT5" s="57"/>
      <c r="BU5" s="57"/>
      <c r="BV5" s="57"/>
      <c r="BW5" s="57"/>
      <c r="BX5" s="57"/>
      <c r="BZ5" s="57" t="s">
        <v>106</v>
      </c>
      <c r="CA5" s="57"/>
      <c r="CB5" s="57"/>
      <c r="CC5" s="57"/>
      <c r="CD5" s="57"/>
      <c r="CE5" s="57"/>
      <c r="CG5" s="57" t="s">
        <v>106</v>
      </c>
      <c r="CH5" s="57"/>
      <c r="CI5" s="57"/>
      <c r="CJ5" s="57"/>
      <c r="CK5" s="57"/>
      <c r="CL5" s="57"/>
    </row>
    <row r="6" spans="17:90" ht="12.75">
      <c r="Q6" s="1"/>
      <c r="R6" s="1"/>
      <c r="S6" s="1"/>
      <c r="T6" s="1"/>
      <c r="V6" s="1"/>
      <c r="W6" s="1"/>
      <c r="X6" s="1"/>
      <c r="Y6" s="1"/>
      <c r="Z6" s="1"/>
      <c r="AA6" s="1"/>
      <c r="AC6" s="1"/>
      <c r="AD6" s="1"/>
      <c r="AE6" s="1"/>
      <c r="AF6" s="1"/>
      <c r="AG6" s="1"/>
      <c r="AH6" s="1"/>
      <c r="AJ6" s="1"/>
      <c r="AK6" s="1"/>
      <c r="AL6" s="1"/>
      <c r="AM6" s="1"/>
      <c r="AN6" s="1"/>
      <c r="AO6" s="1"/>
      <c r="AQ6" s="1"/>
      <c r="AR6" s="1"/>
      <c r="AS6" s="1"/>
      <c r="AT6" s="1"/>
      <c r="AU6" s="1"/>
      <c r="AV6" s="1"/>
      <c r="AX6" s="1"/>
      <c r="AY6" s="1"/>
      <c r="AZ6" s="1"/>
      <c r="BA6" s="1"/>
      <c r="BB6" s="1"/>
      <c r="BC6" s="1"/>
      <c r="BE6" s="1"/>
      <c r="BF6" s="1"/>
      <c r="BG6" s="1"/>
      <c r="BH6" s="1"/>
      <c r="BI6" s="1"/>
      <c r="BJ6" s="1"/>
      <c r="BL6" s="1"/>
      <c r="BM6" s="1"/>
      <c r="BN6" s="1"/>
      <c r="BO6" s="1"/>
      <c r="BP6" s="1"/>
      <c r="BQ6" s="1"/>
      <c r="BS6" s="1"/>
      <c r="BT6" s="1"/>
      <c r="BU6" s="1"/>
      <c r="BV6" s="1"/>
      <c r="BW6" s="1"/>
      <c r="BX6" s="1"/>
      <c r="BZ6" s="1"/>
      <c r="CA6" s="1"/>
      <c r="CB6" s="1"/>
      <c r="CC6" s="1"/>
      <c r="CD6" s="1"/>
      <c r="CE6" s="1"/>
      <c r="CG6" s="1"/>
      <c r="CH6" s="1"/>
      <c r="CI6" s="1"/>
      <c r="CJ6" s="1"/>
      <c r="CK6" s="1"/>
      <c r="CL6" s="1"/>
    </row>
    <row r="7" spans="1:90" s="22" customFormat="1" ht="67.5" customHeight="1">
      <c r="A7" s="20" t="s">
        <v>107</v>
      </c>
      <c r="B7" s="20" t="s">
        <v>108</v>
      </c>
      <c r="C7" s="20" t="s">
        <v>162</v>
      </c>
      <c r="D7" s="20" t="s">
        <v>110</v>
      </c>
      <c r="E7" s="20" t="s">
        <v>111</v>
      </c>
      <c r="F7" s="20" t="s">
        <v>112</v>
      </c>
      <c r="G7" s="21"/>
      <c r="H7" s="20" t="s">
        <v>107</v>
      </c>
      <c r="I7" s="20" t="s">
        <v>108</v>
      </c>
      <c r="J7" s="20" t="s">
        <v>109</v>
      </c>
      <c r="K7" s="20" t="s">
        <v>110</v>
      </c>
      <c r="L7" s="20" t="s">
        <v>111</v>
      </c>
      <c r="M7" s="20" t="s">
        <v>112</v>
      </c>
      <c r="N7" s="21"/>
      <c r="O7" s="20" t="s">
        <v>107</v>
      </c>
      <c r="P7" s="20" t="s">
        <v>108</v>
      </c>
      <c r="Q7" s="20" t="s">
        <v>109</v>
      </c>
      <c r="R7" s="20" t="s">
        <v>110</v>
      </c>
      <c r="S7" s="20" t="s">
        <v>113</v>
      </c>
      <c r="T7" s="20" t="s">
        <v>112</v>
      </c>
      <c r="V7" s="20" t="s">
        <v>107</v>
      </c>
      <c r="W7" s="20" t="s">
        <v>108</v>
      </c>
      <c r="X7" s="20" t="s">
        <v>109</v>
      </c>
      <c r="Y7" s="20" t="s">
        <v>110</v>
      </c>
      <c r="Z7" s="20" t="s">
        <v>113</v>
      </c>
      <c r="AA7" s="20" t="s">
        <v>112</v>
      </c>
      <c r="AC7" s="20" t="s">
        <v>107</v>
      </c>
      <c r="AD7" s="20" t="s">
        <v>108</v>
      </c>
      <c r="AE7" s="20" t="s">
        <v>109</v>
      </c>
      <c r="AF7" s="20" t="s">
        <v>110</v>
      </c>
      <c r="AG7" s="20" t="s">
        <v>113</v>
      </c>
      <c r="AH7" s="20" t="s">
        <v>112</v>
      </c>
      <c r="AJ7" s="20" t="s">
        <v>107</v>
      </c>
      <c r="AK7" s="20" t="s">
        <v>108</v>
      </c>
      <c r="AL7" s="20" t="s">
        <v>109</v>
      </c>
      <c r="AM7" s="20" t="s">
        <v>110</v>
      </c>
      <c r="AN7" s="20" t="s">
        <v>113</v>
      </c>
      <c r="AO7" s="20" t="s">
        <v>112</v>
      </c>
      <c r="AQ7" s="20" t="s">
        <v>107</v>
      </c>
      <c r="AR7" s="20" t="s">
        <v>108</v>
      </c>
      <c r="AS7" s="20" t="s">
        <v>109</v>
      </c>
      <c r="AT7" s="20" t="s">
        <v>110</v>
      </c>
      <c r="AU7" s="20" t="s">
        <v>113</v>
      </c>
      <c r="AV7" s="20" t="s">
        <v>112</v>
      </c>
      <c r="AX7" s="20" t="s">
        <v>107</v>
      </c>
      <c r="AY7" s="20" t="s">
        <v>108</v>
      </c>
      <c r="AZ7" s="20" t="s">
        <v>109</v>
      </c>
      <c r="BA7" s="20" t="s">
        <v>110</v>
      </c>
      <c r="BB7" s="20" t="s">
        <v>113</v>
      </c>
      <c r="BC7" s="20" t="s">
        <v>112</v>
      </c>
      <c r="BE7" s="20" t="s">
        <v>107</v>
      </c>
      <c r="BF7" s="20" t="s">
        <v>108</v>
      </c>
      <c r="BG7" s="20" t="s">
        <v>109</v>
      </c>
      <c r="BH7" s="20" t="s">
        <v>110</v>
      </c>
      <c r="BI7" s="20" t="s">
        <v>113</v>
      </c>
      <c r="BJ7" s="20" t="s">
        <v>112</v>
      </c>
      <c r="BK7" s="32"/>
      <c r="BL7" s="20" t="s">
        <v>107</v>
      </c>
      <c r="BM7" s="20" t="s">
        <v>108</v>
      </c>
      <c r="BN7" s="20" t="s">
        <v>109</v>
      </c>
      <c r="BO7" s="20" t="s">
        <v>110</v>
      </c>
      <c r="BP7" s="20" t="s">
        <v>113</v>
      </c>
      <c r="BQ7" s="20" t="s">
        <v>112</v>
      </c>
      <c r="BS7" s="20" t="s">
        <v>107</v>
      </c>
      <c r="BT7" s="20" t="s">
        <v>108</v>
      </c>
      <c r="BU7" s="20" t="s">
        <v>109</v>
      </c>
      <c r="BV7" s="20" t="s">
        <v>110</v>
      </c>
      <c r="BW7" s="20" t="s">
        <v>113</v>
      </c>
      <c r="BX7" s="20" t="s">
        <v>112</v>
      </c>
      <c r="BZ7" s="20" t="s">
        <v>107</v>
      </c>
      <c r="CA7" s="20" t="s">
        <v>108</v>
      </c>
      <c r="CB7" s="20" t="s">
        <v>109</v>
      </c>
      <c r="CC7" s="20" t="s">
        <v>110</v>
      </c>
      <c r="CD7" s="20" t="s">
        <v>113</v>
      </c>
      <c r="CE7" s="20" t="s">
        <v>112</v>
      </c>
      <c r="CG7" s="20" t="s">
        <v>107</v>
      </c>
      <c r="CH7" s="20" t="s">
        <v>108</v>
      </c>
      <c r="CI7" s="20" t="s">
        <v>109</v>
      </c>
      <c r="CJ7" s="20" t="s">
        <v>110</v>
      </c>
      <c r="CK7" s="20" t="s">
        <v>113</v>
      </c>
      <c r="CL7" s="20" t="s">
        <v>112</v>
      </c>
    </row>
    <row r="8" spans="1:90" s="22" customFormat="1" ht="16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1"/>
      <c r="H8" s="20">
        <v>1</v>
      </c>
      <c r="I8" s="20">
        <v>2</v>
      </c>
      <c r="J8" s="20">
        <v>3</v>
      </c>
      <c r="K8" s="20">
        <v>4</v>
      </c>
      <c r="L8" s="20">
        <v>5</v>
      </c>
      <c r="M8" s="20">
        <v>6</v>
      </c>
      <c r="N8" s="21"/>
      <c r="O8" s="20">
        <v>1</v>
      </c>
      <c r="P8" s="20">
        <v>2</v>
      </c>
      <c r="Q8" s="20">
        <v>3</v>
      </c>
      <c r="R8" s="20">
        <v>4</v>
      </c>
      <c r="S8" s="20">
        <v>5</v>
      </c>
      <c r="T8" s="20">
        <v>6</v>
      </c>
      <c r="V8" s="20">
        <v>1</v>
      </c>
      <c r="W8" s="20">
        <v>2</v>
      </c>
      <c r="X8" s="20">
        <v>3</v>
      </c>
      <c r="Y8" s="20">
        <v>4</v>
      </c>
      <c r="Z8" s="20">
        <v>5</v>
      </c>
      <c r="AA8" s="20">
        <v>6</v>
      </c>
      <c r="AC8" s="20">
        <v>1</v>
      </c>
      <c r="AD8" s="20">
        <v>2</v>
      </c>
      <c r="AE8" s="20">
        <v>3</v>
      </c>
      <c r="AF8" s="20">
        <v>4</v>
      </c>
      <c r="AG8" s="20">
        <v>5</v>
      </c>
      <c r="AH8" s="20">
        <v>6</v>
      </c>
      <c r="AJ8" s="20">
        <v>1</v>
      </c>
      <c r="AK8" s="20">
        <v>2</v>
      </c>
      <c r="AL8" s="20">
        <v>3</v>
      </c>
      <c r="AM8" s="20">
        <v>4</v>
      </c>
      <c r="AN8" s="20">
        <v>5</v>
      </c>
      <c r="AO8" s="20">
        <v>6</v>
      </c>
      <c r="AQ8" s="20">
        <v>1</v>
      </c>
      <c r="AR8" s="20">
        <v>2</v>
      </c>
      <c r="AS8" s="20">
        <v>3</v>
      </c>
      <c r="AT8" s="20">
        <v>4</v>
      </c>
      <c r="AU8" s="20">
        <v>5</v>
      </c>
      <c r="AV8" s="20">
        <v>6</v>
      </c>
      <c r="AX8" s="20">
        <v>1</v>
      </c>
      <c r="AY8" s="20">
        <v>2</v>
      </c>
      <c r="AZ8" s="20">
        <v>3</v>
      </c>
      <c r="BA8" s="20">
        <v>4</v>
      </c>
      <c r="BB8" s="20">
        <v>5</v>
      </c>
      <c r="BC8" s="20">
        <v>6</v>
      </c>
      <c r="BE8" s="20">
        <v>1</v>
      </c>
      <c r="BF8" s="20">
        <v>2</v>
      </c>
      <c r="BG8" s="20">
        <v>3</v>
      </c>
      <c r="BH8" s="20">
        <v>4</v>
      </c>
      <c r="BI8" s="20">
        <v>5</v>
      </c>
      <c r="BJ8" s="20">
        <v>6</v>
      </c>
      <c r="BK8" s="32"/>
      <c r="BL8" s="20">
        <v>1</v>
      </c>
      <c r="BM8" s="20">
        <v>2</v>
      </c>
      <c r="BN8" s="20">
        <v>3</v>
      </c>
      <c r="BO8" s="20">
        <v>4</v>
      </c>
      <c r="BP8" s="20">
        <v>5</v>
      </c>
      <c r="BQ8" s="20">
        <v>6</v>
      </c>
      <c r="BS8" s="20">
        <v>1</v>
      </c>
      <c r="BT8" s="20">
        <v>2</v>
      </c>
      <c r="BU8" s="20">
        <v>3</v>
      </c>
      <c r="BV8" s="20">
        <v>4</v>
      </c>
      <c r="BW8" s="20">
        <v>5</v>
      </c>
      <c r="BX8" s="20">
        <v>6</v>
      </c>
      <c r="BZ8" s="20">
        <v>1</v>
      </c>
      <c r="CA8" s="20">
        <v>2</v>
      </c>
      <c r="CB8" s="20">
        <v>3</v>
      </c>
      <c r="CC8" s="20">
        <v>4</v>
      </c>
      <c r="CD8" s="20">
        <v>5</v>
      </c>
      <c r="CE8" s="20">
        <v>6</v>
      </c>
      <c r="CG8" s="20">
        <v>1</v>
      </c>
      <c r="CH8" s="20">
        <v>2</v>
      </c>
      <c r="CI8" s="20">
        <v>3</v>
      </c>
      <c r="CJ8" s="20">
        <v>4</v>
      </c>
      <c r="CK8" s="20">
        <v>5</v>
      </c>
      <c r="CL8" s="20">
        <v>6</v>
      </c>
    </row>
    <row r="9" spans="1:90" ht="12.75">
      <c r="A9" s="7" t="s">
        <v>128</v>
      </c>
      <c r="B9" s="33">
        <v>10800</v>
      </c>
      <c r="C9" s="33">
        <f>1.667*12</f>
        <v>20.004</v>
      </c>
      <c r="D9" s="34">
        <v>39</v>
      </c>
      <c r="E9" s="34">
        <v>1</v>
      </c>
      <c r="F9" s="23">
        <f>B9*C9%/D9*E9</f>
        <v>55.395692307692315</v>
      </c>
      <c r="H9" s="7" t="s">
        <v>114</v>
      </c>
      <c r="I9" s="4">
        <f>8568*4</f>
        <v>34272</v>
      </c>
      <c r="J9" s="33">
        <f>1.19*12</f>
        <v>14.28</v>
      </c>
      <c r="K9" s="4">
        <v>153</v>
      </c>
      <c r="L9" s="4">
        <v>1</v>
      </c>
      <c r="M9" s="23">
        <f>I9*J9%/K9*L9</f>
        <v>31.987199999999998</v>
      </c>
      <c r="O9" s="7" t="s">
        <v>115</v>
      </c>
      <c r="P9" s="4">
        <f>8568</f>
        <v>8568</v>
      </c>
      <c r="Q9" s="33">
        <f>1.19*12</f>
        <v>14.28</v>
      </c>
      <c r="R9" s="4">
        <v>226</v>
      </c>
      <c r="S9" s="4">
        <v>36</v>
      </c>
      <c r="T9" s="23">
        <f aca="true" t="shared" si="0" ref="T9:T14">P9*Q9%/R9*S9</f>
        <v>194.89546194690263</v>
      </c>
      <c r="V9" s="7" t="s">
        <v>115</v>
      </c>
      <c r="W9" s="4">
        <f>8568</f>
        <v>8568</v>
      </c>
      <c r="X9" s="33">
        <f>1.19*12</f>
        <v>14.28</v>
      </c>
      <c r="Y9" s="4">
        <v>216</v>
      </c>
      <c r="Z9" s="4">
        <v>24</v>
      </c>
      <c r="AA9" s="23">
        <f aca="true" t="shared" si="1" ref="AA9:AA14">W9*X9%/Y9*Z9</f>
        <v>135.94559999999998</v>
      </c>
      <c r="AC9" s="7" t="s">
        <v>115</v>
      </c>
      <c r="AD9" s="4">
        <f>8568</f>
        <v>8568</v>
      </c>
      <c r="AE9" s="33">
        <f>1.19*12</f>
        <v>14.28</v>
      </c>
      <c r="AF9" s="4">
        <v>180</v>
      </c>
      <c r="AG9" s="4">
        <v>21</v>
      </c>
      <c r="AH9" s="23">
        <f aca="true" t="shared" si="2" ref="AH9:AH14">AD9*AE9%/AF9*AG9</f>
        <v>142.74287999999999</v>
      </c>
      <c r="AJ9" s="7" t="s">
        <v>115</v>
      </c>
      <c r="AK9" s="4">
        <f>8568</f>
        <v>8568</v>
      </c>
      <c r="AL9" s="33">
        <f>1.19*12</f>
        <v>14.28</v>
      </c>
      <c r="AM9" s="4">
        <v>180</v>
      </c>
      <c r="AN9" s="4">
        <v>22</v>
      </c>
      <c r="AO9" s="23">
        <f aca="true" t="shared" si="3" ref="AO9:AO14">AK9*AL9%/AM9*AN9</f>
        <v>149.54016</v>
      </c>
      <c r="AQ9" s="7" t="s">
        <v>115</v>
      </c>
      <c r="AR9" s="4">
        <f>8568</f>
        <v>8568</v>
      </c>
      <c r="AS9" s="33">
        <f>1.19*12</f>
        <v>14.28</v>
      </c>
      <c r="AT9" s="4">
        <v>216</v>
      </c>
      <c r="AU9" s="4">
        <v>24</v>
      </c>
      <c r="AV9" s="23">
        <f aca="true" t="shared" si="4" ref="AV9:AV14">AR9*AS9%/AT9*AU9</f>
        <v>135.94559999999998</v>
      </c>
      <c r="AX9" s="7" t="s">
        <v>115</v>
      </c>
      <c r="AY9" s="4">
        <f>8568</f>
        <v>8568</v>
      </c>
      <c r="AZ9" s="33">
        <f>1.19*12</f>
        <v>14.28</v>
      </c>
      <c r="BA9" s="4">
        <v>180</v>
      </c>
      <c r="BB9" s="4">
        <v>21</v>
      </c>
      <c r="BC9" s="23">
        <f aca="true" t="shared" si="5" ref="BC9:BC14">AY9*AZ9%/BA9*BB9</f>
        <v>142.74287999999999</v>
      </c>
      <c r="BE9" s="7" t="s">
        <v>115</v>
      </c>
      <c r="BF9" s="4">
        <f>8568</f>
        <v>8568</v>
      </c>
      <c r="BG9" s="33">
        <f>1.19*12</f>
        <v>14.28</v>
      </c>
      <c r="BH9" s="4">
        <v>180</v>
      </c>
      <c r="BI9" s="4">
        <v>22</v>
      </c>
      <c r="BJ9" s="23">
        <f aca="true" t="shared" si="6" ref="BJ9:BJ14">BF9*BG9%/BH9*BI9</f>
        <v>149.54016</v>
      </c>
      <c r="BL9" s="7" t="s">
        <v>115</v>
      </c>
      <c r="BM9" s="4">
        <f>8568</f>
        <v>8568</v>
      </c>
      <c r="BN9" s="33">
        <f>1.19*12</f>
        <v>14.28</v>
      </c>
      <c r="BO9" s="4">
        <v>288</v>
      </c>
      <c r="BP9" s="4">
        <v>32</v>
      </c>
      <c r="BQ9" s="23">
        <f aca="true" t="shared" si="7" ref="BQ9:BQ14">BM9*BN9%/BO9*BP9</f>
        <v>135.94559999999998</v>
      </c>
      <c r="BS9" s="7" t="s">
        <v>115</v>
      </c>
      <c r="BT9" s="4">
        <f>8568</f>
        <v>8568</v>
      </c>
      <c r="BU9" s="33">
        <f>1.19*12</f>
        <v>14.28</v>
      </c>
      <c r="BV9" s="4">
        <v>324</v>
      </c>
      <c r="BW9" s="4">
        <v>36</v>
      </c>
      <c r="BX9" s="23">
        <f aca="true" t="shared" si="8" ref="BX9:BX14">BT9*BU9%/BV9*BW9</f>
        <v>135.94559999999998</v>
      </c>
      <c r="BZ9" s="7" t="s">
        <v>115</v>
      </c>
      <c r="CA9" s="4">
        <f>8568</f>
        <v>8568</v>
      </c>
      <c r="CB9" s="33">
        <f>1.19*12</f>
        <v>14.28</v>
      </c>
      <c r="CC9" s="4">
        <v>288</v>
      </c>
      <c r="CD9" s="4">
        <v>32</v>
      </c>
      <c r="CE9" s="23">
        <f aca="true" t="shared" si="9" ref="CE9:CE14">CA9*CB9%/CC9*CD9</f>
        <v>135.94559999999998</v>
      </c>
      <c r="CG9" s="7" t="s">
        <v>115</v>
      </c>
      <c r="CH9" s="4">
        <f>8568</f>
        <v>8568</v>
      </c>
      <c r="CI9" s="33">
        <f>1.19*12</f>
        <v>14.28</v>
      </c>
      <c r="CJ9" s="4">
        <v>324</v>
      </c>
      <c r="CK9" s="4">
        <v>36</v>
      </c>
      <c r="CL9" s="23">
        <f aca="true" t="shared" si="10" ref="CL9:CL14">CH9*CI9%/CJ9*CK9</f>
        <v>135.94559999999998</v>
      </c>
    </row>
    <row r="10" spans="1:90" ht="12.75">
      <c r="A10" s="7" t="s">
        <v>129</v>
      </c>
      <c r="B10" s="33">
        <v>5500</v>
      </c>
      <c r="C10" s="33">
        <f>1.667*12</f>
        <v>20.004</v>
      </c>
      <c r="D10" s="34">
        <v>39</v>
      </c>
      <c r="E10" s="34">
        <v>1</v>
      </c>
      <c r="F10" s="23">
        <f>B10*C10%/D10*E10</f>
        <v>28.21076923076923</v>
      </c>
      <c r="H10" s="7" t="s">
        <v>116</v>
      </c>
      <c r="I10" s="33">
        <f>9226.32*2</f>
        <v>18452.64</v>
      </c>
      <c r="J10" s="33">
        <f>0.56*12</f>
        <v>6.720000000000001</v>
      </c>
      <c r="K10" s="4">
        <v>153</v>
      </c>
      <c r="L10" s="34">
        <v>1</v>
      </c>
      <c r="M10" s="23">
        <f>I10*J10%/K10*L10</f>
        <v>8.104688941176471</v>
      </c>
      <c r="O10" s="7" t="s">
        <v>117</v>
      </c>
      <c r="P10" s="33">
        <v>3175</v>
      </c>
      <c r="Q10" s="33">
        <f>1.19*12</f>
        <v>14.28</v>
      </c>
      <c r="R10" s="34">
        <v>226</v>
      </c>
      <c r="S10" s="34">
        <v>36</v>
      </c>
      <c r="T10" s="23">
        <f t="shared" si="0"/>
        <v>72.22141592920353</v>
      </c>
      <c r="V10" s="7" t="s">
        <v>117</v>
      </c>
      <c r="W10" s="33">
        <v>3175</v>
      </c>
      <c r="X10" s="33">
        <f>1.19*12</f>
        <v>14.28</v>
      </c>
      <c r="Y10" s="34">
        <v>216</v>
      </c>
      <c r="Z10" s="34">
        <v>24</v>
      </c>
      <c r="AA10" s="23">
        <f t="shared" si="1"/>
        <v>50.37666666666665</v>
      </c>
      <c r="AC10" s="7" t="s">
        <v>117</v>
      </c>
      <c r="AD10" s="33">
        <v>3175</v>
      </c>
      <c r="AE10" s="33">
        <f>1.19*12</f>
        <v>14.28</v>
      </c>
      <c r="AF10" s="34">
        <v>180</v>
      </c>
      <c r="AG10" s="34">
        <v>21</v>
      </c>
      <c r="AH10" s="23">
        <f t="shared" si="2"/>
        <v>52.89549999999999</v>
      </c>
      <c r="AJ10" s="7" t="s">
        <v>117</v>
      </c>
      <c r="AK10" s="33">
        <v>3175</v>
      </c>
      <c r="AL10" s="33">
        <f>1.19*12</f>
        <v>14.28</v>
      </c>
      <c r="AM10" s="34">
        <v>180</v>
      </c>
      <c r="AN10" s="34">
        <v>22</v>
      </c>
      <c r="AO10" s="23">
        <f t="shared" si="3"/>
        <v>55.414333333333325</v>
      </c>
      <c r="AQ10" s="7" t="s">
        <v>117</v>
      </c>
      <c r="AR10" s="33">
        <v>3175</v>
      </c>
      <c r="AS10" s="33">
        <f>1.19*12</f>
        <v>14.28</v>
      </c>
      <c r="AT10" s="34">
        <v>216</v>
      </c>
      <c r="AU10" s="34">
        <v>24</v>
      </c>
      <c r="AV10" s="23">
        <f t="shared" si="4"/>
        <v>50.37666666666665</v>
      </c>
      <c r="AX10" s="7" t="s">
        <v>117</v>
      </c>
      <c r="AY10" s="33">
        <v>3175</v>
      </c>
      <c r="AZ10" s="33">
        <f>1.19*12</f>
        <v>14.28</v>
      </c>
      <c r="BA10" s="34">
        <v>180</v>
      </c>
      <c r="BB10" s="34">
        <v>21</v>
      </c>
      <c r="BC10" s="23">
        <f t="shared" si="5"/>
        <v>52.89549999999999</v>
      </c>
      <c r="BE10" s="7" t="s">
        <v>117</v>
      </c>
      <c r="BF10" s="33">
        <v>3175</v>
      </c>
      <c r="BG10" s="33">
        <f>1.19*12</f>
        <v>14.28</v>
      </c>
      <c r="BH10" s="34">
        <v>180</v>
      </c>
      <c r="BI10" s="34">
        <v>22</v>
      </c>
      <c r="BJ10" s="23">
        <f t="shared" si="6"/>
        <v>55.414333333333325</v>
      </c>
      <c r="BL10" s="7" t="s">
        <v>117</v>
      </c>
      <c r="BM10" s="33">
        <v>3175</v>
      </c>
      <c r="BN10" s="33">
        <f>1.19*12</f>
        <v>14.28</v>
      </c>
      <c r="BO10" s="34">
        <v>288</v>
      </c>
      <c r="BP10" s="34">
        <v>32</v>
      </c>
      <c r="BQ10" s="23">
        <f t="shared" si="7"/>
        <v>50.37666666666666</v>
      </c>
      <c r="BS10" s="7" t="s">
        <v>117</v>
      </c>
      <c r="BT10" s="33">
        <v>3175</v>
      </c>
      <c r="BU10" s="33">
        <f>1.19*12</f>
        <v>14.28</v>
      </c>
      <c r="BV10" s="34">
        <v>324</v>
      </c>
      <c r="BW10" s="34">
        <v>36</v>
      </c>
      <c r="BX10" s="23">
        <f t="shared" si="8"/>
        <v>50.376666666666665</v>
      </c>
      <c r="BZ10" s="7" t="s">
        <v>117</v>
      </c>
      <c r="CA10" s="33">
        <v>3175</v>
      </c>
      <c r="CB10" s="33">
        <f>1.19*12</f>
        <v>14.28</v>
      </c>
      <c r="CC10" s="34">
        <v>288</v>
      </c>
      <c r="CD10" s="34">
        <v>32</v>
      </c>
      <c r="CE10" s="23">
        <f t="shared" si="9"/>
        <v>50.37666666666666</v>
      </c>
      <c r="CG10" s="7" t="s">
        <v>117</v>
      </c>
      <c r="CH10" s="33">
        <v>3175</v>
      </c>
      <c r="CI10" s="33">
        <f>1.19*12</f>
        <v>14.28</v>
      </c>
      <c r="CJ10" s="34">
        <v>324</v>
      </c>
      <c r="CK10" s="34">
        <v>36</v>
      </c>
      <c r="CL10" s="23">
        <f t="shared" si="10"/>
        <v>50.376666666666665</v>
      </c>
    </row>
    <row r="11" spans="1:90" ht="26.25" customHeight="1">
      <c r="A11" s="7" t="s">
        <v>130</v>
      </c>
      <c r="B11" s="33">
        <v>28000</v>
      </c>
      <c r="C11" s="33">
        <f aca="true" t="shared" si="11" ref="C11:C16">1.667*12</f>
        <v>20.004</v>
      </c>
      <c r="D11" s="34">
        <v>39</v>
      </c>
      <c r="E11" s="34">
        <v>1</v>
      </c>
      <c r="F11" s="23">
        <f>B11*C11%/D11*E11</f>
        <v>143.61846153846156</v>
      </c>
      <c r="H11" s="7" t="s">
        <v>118</v>
      </c>
      <c r="I11" s="33">
        <v>18590</v>
      </c>
      <c r="J11" s="33">
        <f>1.19*12</f>
        <v>14.28</v>
      </c>
      <c r="K11" s="4">
        <v>153</v>
      </c>
      <c r="L11" s="34">
        <v>1</v>
      </c>
      <c r="M11" s="23">
        <f>I11*J11%/K11*L11</f>
        <v>17.350666666666665</v>
      </c>
      <c r="O11" s="7" t="s">
        <v>119</v>
      </c>
      <c r="P11" s="33">
        <v>35433.72</v>
      </c>
      <c r="Q11" s="33">
        <f>0.88*12</f>
        <v>10.56</v>
      </c>
      <c r="R11" s="34">
        <v>226</v>
      </c>
      <c r="S11" s="34">
        <v>36</v>
      </c>
      <c r="T11" s="23">
        <f t="shared" si="0"/>
        <v>596.0390705840707</v>
      </c>
      <c r="V11" s="7" t="s">
        <v>119</v>
      </c>
      <c r="W11" s="33">
        <v>35433.72</v>
      </c>
      <c r="X11" s="33">
        <f>0.88*12</f>
        <v>10.56</v>
      </c>
      <c r="Y11" s="34">
        <v>216</v>
      </c>
      <c r="Z11" s="34">
        <v>24</v>
      </c>
      <c r="AA11" s="23">
        <f t="shared" si="1"/>
        <v>415.755648</v>
      </c>
      <c r="AC11" s="7" t="s">
        <v>119</v>
      </c>
      <c r="AD11" s="33">
        <v>35433.72</v>
      </c>
      <c r="AE11" s="33">
        <f>0.88*12</f>
        <v>10.56</v>
      </c>
      <c r="AF11" s="34">
        <v>180</v>
      </c>
      <c r="AG11" s="34">
        <v>21</v>
      </c>
      <c r="AH11" s="23">
        <f t="shared" si="2"/>
        <v>436.54343040000003</v>
      </c>
      <c r="AJ11" s="7" t="s">
        <v>119</v>
      </c>
      <c r="AK11" s="33">
        <v>35433.72</v>
      </c>
      <c r="AL11" s="33">
        <f>0.88*12</f>
        <v>10.56</v>
      </c>
      <c r="AM11" s="34">
        <v>180</v>
      </c>
      <c r="AN11" s="34">
        <v>22</v>
      </c>
      <c r="AO11" s="23">
        <f t="shared" si="3"/>
        <v>457.3312128</v>
      </c>
      <c r="AQ11" s="7" t="s">
        <v>119</v>
      </c>
      <c r="AR11" s="33">
        <v>35433.72</v>
      </c>
      <c r="AS11" s="33">
        <f>0.88*12</f>
        <v>10.56</v>
      </c>
      <c r="AT11" s="34">
        <v>216</v>
      </c>
      <c r="AU11" s="34">
        <v>24</v>
      </c>
      <c r="AV11" s="23">
        <f t="shared" si="4"/>
        <v>415.755648</v>
      </c>
      <c r="AX11" s="7" t="s">
        <v>119</v>
      </c>
      <c r="AY11" s="33">
        <v>35433.72</v>
      </c>
      <c r="AZ11" s="33">
        <f>0.88*12</f>
        <v>10.56</v>
      </c>
      <c r="BA11" s="34">
        <v>180</v>
      </c>
      <c r="BB11" s="34">
        <v>21</v>
      </c>
      <c r="BC11" s="23">
        <f t="shared" si="5"/>
        <v>436.54343040000003</v>
      </c>
      <c r="BE11" s="7" t="s">
        <v>119</v>
      </c>
      <c r="BF11" s="33">
        <v>35433.72</v>
      </c>
      <c r="BG11" s="33">
        <f>0.88*12</f>
        <v>10.56</v>
      </c>
      <c r="BH11" s="34">
        <v>180</v>
      </c>
      <c r="BI11" s="34">
        <v>22</v>
      </c>
      <c r="BJ11" s="23">
        <f t="shared" si="6"/>
        <v>457.3312128</v>
      </c>
      <c r="BL11" s="7" t="s">
        <v>119</v>
      </c>
      <c r="BM11" s="33">
        <v>35433.72</v>
      </c>
      <c r="BN11" s="33">
        <f>0.88*12</f>
        <v>10.56</v>
      </c>
      <c r="BO11" s="34">
        <v>288</v>
      </c>
      <c r="BP11" s="34">
        <v>32</v>
      </c>
      <c r="BQ11" s="23">
        <f t="shared" si="7"/>
        <v>415.755648</v>
      </c>
      <c r="BS11" s="7" t="s">
        <v>119</v>
      </c>
      <c r="BT11" s="33">
        <v>35433.72</v>
      </c>
      <c r="BU11" s="33">
        <f>0.88*12</f>
        <v>10.56</v>
      </c>
      <c r="BV11" s="34">
        <v>324</v>
      </c>
      <c r="BW11" s="34">
        <v>36</v>
      </c>
      <c r="BX11" s="23">
        <f t="shared" si="8"/>
        <v>415.75564799999995</v>
      </c>
      <c r="BZ11" s="7" t="s">
        <v>119</v>
      </c>
      <c r="CA11" s="33">
        <v>35433.72</v>
      </c>
      <c r="CB11" s="33">
        <f>0.88*12</f>
        <v>10.56</v>
      </c>
      <c r="CC11" s="34">
        <v>288</v>
      </c>
      <c r="CD11" s="34">
        <v>32</v>
      </c>
      <c r="CE11" s="23">
        <f t="shared" si="9"/>
        <v>415.755648</v>
      </c>
      <c r="CG11" s="7" t="s">
        <v>119</v>
      </c>
      <c r="CH11" s="33">
        <v>35433.72</v>
      </c>
      <c r="CI11" s="33">
        <f>0.88*12</f>
        <v>10.56</v>
      </c>
      <c r="CJ11" s="34">
        <v>324</v>
      </c>
      <c r="CK11" s="34">
        <v>36</v>
      </c>
      <c r="CL11" s="23">
        <f t="shared" si="10"/>
        <v>415.75564799999995</v>
      </c>
    </row>
    <row r="12" spans="1:90" ht="17.25" customHeight="1">
      <c r="A12" s="7" t="s">
        <v>131</v>
      </c>
      <c r="B12" s="33">
        <v>12500</v>
      </c>
      <c r="C12" s="33">
        <f t="shared" si="11"/>
        <v>20.004</v>
      </c>
      <c r="D12" s="34">
        <v>39</v>
      </c>
      <c r="E12" s="34">
        <v>1</v>
      </c>
      <c r="F12" s="23">
        <f aca="true" t="shared" si="12" ref="F12:F43">B12*C12%/D12*E12</f>
        <v>64.11538461538463</v>
      </c>
      <c r="H12" s="7" t="s">
        <v>120</v>
      </c>
      <c r="I12" s="33">
        <f>3618.52*50</f>
        <v>180926</v>
      </c>
      <c r="J12" s="33">
        <f>1.19*12</f>
        <v>14.28</v>
      </c>
      <c r="K12" s="4">
        <v>153</v>
      </c>
      <c r="L12" s="34">
        <v>1</v>
      </c>
      <c r="M12" s="23">
        <f>I12*J12%/K12*L12</f>
        <v>168.86426666666665</v>
      </c>
      <c r="O12" s="7" t="s">
        <v>121</v>
      </c>
      <c r="P12" s="33">
        <v>53823.96</v>
      </c>
      <c r="Q12" s="33">
        <f>1.19*12</f>
        <v>14.28</v>
      </c>
      <c r="R12" s="34">
        <v>226</v>
      </c>
      <c r="S12" s="34">
        <v>36</v>
      </c>
      <c r="T12" s="23">
        <f t="shared" si="0"/>
        <v>1224.3283786194688</v>
      </c>
      <c r="V12" s="7" t="s">
        <v>121</v>
      </c>
      <c r="W12" s="33">
        <v>53823.96</v>
      </c>
      <c r="X12" s="33">
        <f>1.19*12</f>
        <v>14.28</v>
      </c>
      <c r="Y12" s="34">
        <v>216</v>
      </c>
      <c r="Z12" s="34">
        <v>24</v>
      </c>
      <c r="AA12" s="23">
        <f t="shared" si="1"/>
        <v>854.0068319999998</v>
      </c>
      <c r="AC12" s="7" t="s">
        <v>121</v>
      </c>
      <c r="AD12" s="33">
        <v>53823.96</v>
      </c>
      <c r="AE12" s="33">
        <f>1.19*12</f>
        <v>14.28</v>
      </c>
      <c r="AF12" s="34">
        <v>180</v>
      </c>
      <c r="AG12" s="34">
        <v>21</v>
      </c>
      <c r="AH12" s="23">
        <f t="shared" si="2"/>
        <v>896.7071735999999</v>
      </c>
      <c r="AJ12" s="7" t="s">
        <v>121</v>
      </c>
      <c r="AK12" s="33">
        <v>53823.96</v>
      </c>
      <c r="AL12" s="33">
        <f>1.19*12</f>
        <v>14.28</v>
      </c>
      <c r="AM12" s="34">
        <v>180</v>
      </c>
      <c r="AN12" s="34">
        <v>22</v>
      </c>
      <c r="AO12" s="23">
        <f t="shared" si="3"/>
        <v>939.4075151999999</v>
      </c>
      <c r="AQ12" s="7" t="s">
        <v>121</v>
      </c>
      <c r="AR12" s="33">
        <v>53823.96</v>
      </c>
      <c r="AS12" s="33">
        <f>1.19*12</f>
        <v>14.28</v>
      </c>
      <c r="AT12" s="34">
        <v>216</v>
      </c>
      <c r="AU12" s="34">
        <v>24</v>
      </c>
      <c r="AV12" s="23">
        <f t="shared" si="4"/>
        <v>854.0068319999998</v>
      </c>
      <c r="AX12" s="7" t="s">
        <v>121</v>
      </c>
      <c r="AY12" s="33">
        <v>53823.96</v>
      </c>
      <c r="AZ12" s="33">
        <f>1.19*12</f>
        <v>14.28</v>
      </c>
      <c r="BA12" s="34">
        <v>180</v>
      </c>
      <c r="BB12" s="34">
        <v>21</v>
      </c>
      <c r="BC12" s="23">
        <f t="shared" si="5"/>
        <v>896.7071735999999</v>
      </c>
      <c r="BE12" s="7" t="s">
        <v>121</v>
      </c>
      <c r="BF12" s="33">
        <v>53823.96</v>
      </c>
      <c r="BG12" s="33">
        <f>1.19*12</f>
        <v>14.28</v>
      </c>
      <c r="BH12" s="34">
        <v>180</v>
      </c>
      <c r="BI12" s="34">
        <v>22</v>
      </c>
      <c r="BJ12" s="23">
        <f t="shared" si="6"/>
        <v>939.4075151999999</v>
      </c>
      <c r="BL12" s="7" t="s">
        <v>121</v>
      </c>
      <c r="BM12" s="33">
        <v>53823.96</v>
      </c>
      <c r="BN12" s="33">
        <f>1.19*12</f>
        <v>14.28</v>
      </c>
      <c r="BO12" s="34">
        <v>288</v>
      </c>
      <c r="BP12" s="34">
        <v>32</v>
      </c>
      <c r="BQ12" s="23">
        <f t="shared" si="7"/>
        <v>854.0068319999999</v>
      </c>
      <c r="BS12" s="7" t="s">
        <v>121</v>
      </c>
      <c r="BT12" s="33">
        <v>53823.96</v>
      </c>
      <c r="BU12" s="33">
        <f>1.19*12</f>
        <v>14.28</v>
      </c>
      <c r="BV12" s="34">
        <v>324</v>
      </c>
      <c r="BW12" s="34">
        <v>36</v>
      </c>
      <c r="BX12" s="23">
        <f t="shared" si="8"/>
        <v>854.0068319999999</v>
      </c>
      <c r="BZ12" s="7" t="s">
        <v>121</v>
      </c>
      <c r="CA12" s="33">
        <v>53823.96</v>
      </c>
      <c r="CB12" s="33">
        <f>1.19*12</f>
        <v>14.28</v>
      </c>
      <c r="CC12" s="34">
        <v>288</v>
      </c>
      <c r="CD12" s="34">
        <v>32</v>
      </c>
      <c r="CE12" s="23">
        <f t="shared" si="9"/>
        <v>854.0068319999999</v>
      </c>
      <c r="CG12" s="7" t="s">
        <v>121</v>
      </c>
      <c r="CH12" s="33">
        <v>53823.96</v>
      </c>
      <c r="CI12" s="33">
        <f>1.19*12</f>
        <v>14.28</v>
      </c>
      <c r="CJ12" s="34">
        <v>324</v>
      </c>
      <c r="CK12" s="34">
        <v>36</v>
      </c>
      <c r="CL12" s="23">
        <f t="shared" si="10"/>
        <v>854.0068319999999</v>
      </c>
    </row>
    <row r="13" spans="1:90" ht="12.75">
      <c r="A13" s="7" t="s">
        <v>132</v>
      </c>
      <c r="B13" s="33">
        <v>17500</v>
      </c>
      <c r="C13" s="33">
        <f t="shared" si="11"/>
        <v>20.004</v>
      </c>
      <c r="D13" s="34">
        <v>39</v>
      </c>
      <c r="E13" s="34">
        <v>1</v>
      </c>
      <c r="F13" s="23">
        <f t="shared" si="12"/>
        <v>89.76153846153846</v>
      </c>
      <c r="H13" s="7" t="s">
        <v>122</v>
      </c>
      <c r="I13" s="33">
        <v>38760</v>
      </c>
      <c r="J13" s="33">
        <f>1.19*12</f>
        <v>14.28</v>
      </c>
      <c r="K13" s="4">
        <v>153</v>
      </c>
      <c r="L13" s="34">
        <v>1</v>
      </c>
      <c r="M13" s="23">
        <f>I13*J13%/K13*L13</f>
        <v>36.175999999999995</v>
      </c>
      <c r="O13" s="7" t="s">
        <v>123</v>
      </c>
      <c r="P13" s="33">
        <v>3500.33</v>
      </c>
      <c r="Q13" s="33">
        <f>1.19*12</f>
        <v>14.28</v>
      </c>
      <c r="R13" s="34">
        <v>226</v>
      </c>
      <c r="S13" s="34">
        <v>36</v>
      </c>
      <c r="T13" s="23">
        <f t="shared" si="0"/>
        <v>79.6216657699115</v>
      </c>
      <c r="V13" s="7" t="s">
        <v>123</v>
      </c>
      <c r="W13" s="33">
        <v>3500.33</v>
      </c>
      <c r="X13" s="33">
        <f>1.19*12</f>
        <v>14.28</v>
      </c>
      <c r="Y13" s="34">
        <v>216</v>
      </c>
      <c r="Z13" s="34">
        <v>24</v>
      </c>
      <c r="AA13" s="23">
        <f t="shared" si="1"/>
        <v>55.53856933333333</v>
      </c>
      <c r="AC13" s="7" t="s">
        <v>123</v>
      </c>
      <c r="AD13" s="33">
        <v>3500.33</v>
      </c>
      <c r="AE13" s="33">
        <f>1.19*12</f>
        <v>14.28</v>
      </c>
      <c r="AF13" s="34">
        <v>180</v>
      </c>
      <c r="AG13" s="34">
        <v>21</v>
      </c>
      <c r="AH13" s="23">
        <f t="shared" si="2"/>
        <v>58.315497799999996</v>
      </c>
      <c r="AJ13" s="7" t="s">
        <v>123</v>
      </c>
      <c r="AK13" s="33">
        <v>3500.33</v>
      </c>
      <c r="AL13" s="33">
        <f>1.19*12</f>
        <v>14.28</v>
      </c>
      <c r="AM13" s="34">
        <v>180</v>
      </c>
      <c r="AN13" s="34">
        <v>22</v>
      </c>
      <c r="AO13" s="23">
        <f t="shared" si="3"/>
        <v>61.09242626666666</v>
      </c>
      <c r="AQ13" s="7" t="s">
        <v>123</v>
      </c>
      <c r="AR13" s="33">
        <v>3500.33</v>
      </c>
      <c r="AS13" s="33">
        <f>1.19*12</f>
        <v>14.28</v>
      </c>
      <c r="AT13" s="34">
        <v>216</v>
      </c>
      <c r="AU13" s="34">
        <v>24</v>
      </c>
      <c r="AV13" s="23">
        <f t="shared" si="4"/>
        <v>55.53856933333333</v>
      </c>
      <c r="AX13" s="7" t="s">
        <v>123</v>
      </c>
      <c r="AY13" s="33">
        <v>3500.33</v>
      </c>
      <c r="AZ13" s="33">
        <f>1.19*12</f>
        <v>14.28</v>
      </c>
      <c r="BA13" s="34">
        <v>180</v>
      </c>
      <c r="BB13" s="34">
        <v>21</v>
      </c>
      <c r="BC13" s="23">
        <f t="shared" si="5"/>
        <v>58.315497799999996</v>
      </c>
      <c r="BE13" s="7" t="s">
        <v>123</v>
      </c>
      <c r="BF13" s="33">
        <v>3500.33</v>
      </c>
      <c r="BG13" s="33">
        <f>1.19*12</f>
        <v>14.28</v>
      </c>
      <c r="BH13" s="34">
        <v>180</v>
      </c>
      <c r="BI13" s="34">
        <v>22</v>
      </c>
      <c r="BJ13" s="23">
        <f t="shared" si="6"/>
        <v>61.09242626666666</v>
      </c>
      <c r="BL13" s="7" t="s">
        <v>123</v>
      </c>
      <c r="BM13" s="33">
        <v>3500.33</v>
      </c>
      <c r="BN13" s="33">
        <f>1.19*12</f>
        <v>14.28</v>
      </c>
      <c r="BO13" s="34">
        <v>288</v>
      </c>
      <c r="BP13" s="34">
        <v>32</v>
      </c>
      <c r="BQ13" s="23">
        <f t="shared" si="7"/>
        <v>55.53856933333333</v>
      </c>
      <c r="BS13" s="7" t="s">
        <v>123</v>
      </c>
      <c r="BT13" s="33">
        <v>3500.33</v>
      </c>
      <c r="BU13" s="33">
        <f>1.19*12</f>
        <v>14.28</v>
      </c>
      <c r="BV13" s="34">
        <v>324</v>
      </c>
      <c r="BW13" s="34">
        <v>36</v>
      </c>
      <c r="BX13" s="23">
        <f t="shared" si="8"/>
        <v>55.53856933333333</v>
      </c>
      <c r="BZ13" s="7" t="s">
        <v>123</v>
      </c>
      <c r="CA13" s="33">
        <v>3500.33</v>
      </c>
      <c r="CB13" s="33">
        <f>1.19*12</f>
        <v>14.28</v>
      </c>
      <c r="CC13" s="34">
        <v>288</v>
      </c>
      <c r="CD13" s="34">
        <v>32</v>
      </c>
      <c r="CE13" s="23">
        <f t="shared" si="9"/>
        <v>55.53856933333333</v>
      </c>
      <c r="CG13" s="7" t="s">
        <v>123</v>
      </c>
      <c r="CH13" s="33">
        <v>3500.33</v>
      </c>
      <c r="CI13" s="33">
        <f>1.19*12</f>
        <v>14.28</v>
      </c>
      <c r="CJ13" s="34">
        <v>324</v>
      </c>
      <c r="CK13" s="34">
        <v>36</v>
      </c>
      <c r="CL13" s="23">
        <f t="shared" si="10"/>
        <v>55.53856933333333</v>
      </c>
    </row>
    <row r="14" spans="1:90" ht="12.75">
      <c r="A14" s="7" t="s">
        <v>133</v>
      </c>
      <c r="B14" s="33">
        <v>16000</v>
      </c>
      <c r="C14" s="33">
        <f t="shared" si="11"/>
        <v>20.004</v>
      </c>
      <c r="D14" s="34">
        <v>39</v>
      </c>
      <c r="E14" s="34">
        <v>1</v>
      </c>
      <c r="F14" s="23">
        <f t="shared" si="12"/>
        <v>82.06769230769231</v>
      </c>
      <c r="H14" s="9" t="s">
        <v>124</v>
      </c>
      <c r="I14" s="33"/>
      <c r="J14" s="33"/>
      <c r="K14" s="33"/>
      <c r="L14" s="33"/>
      <c r="M14" s="23">
        <f>SUM(M9:M13)</f>
        <v>262.4828222745098</v>
      </c>
      <c r="O14" s="7" t="s">
        <v>125</v>
      </c>
      <c r="P14" s="33">
        <v>3939.74</v>
      </c>
      <c r="Q14" s="33">
        <f>1.19*12</f>
        <v>14.28</v>
      </c>
      <c r="R14" s="34">
        <v>226</v>
      </c>
      <c r="S14" s="34">
        <v>36</v>
      </c>
      <c r="T14" s="23">
        <f t="shared" si="0"/>
        <v>89.61688226548671</v>
      </c>
      <c r="V14" s="7" t="s">
        <v>125</v>
      </c>
      <c r="W14" s="33">
        <v>3939.74</v>
      </c>
      <c r="X14" s="33">
        <f>1.19*12</f>
        <v>14.28</v>
      </c>
      <c r="Y14" s="34">
        <v>216</v>
      </c>
      <c r="Z14" s="34">
        <v>24</v>
      </c>
      <c r="AA14" s="23">
        <f t="shared" si="1"/>
        <v>62.51054133333332</v>
      </c>
      <c r="AC14" s="7" t="s">
        <v>125</v>
      </c>
      <c r="AD14" s="33">
        <v>3939.74</v>
      </c>
      <c r="AE14" s="33">
        <f>1.19*12</f>
        <v>14.28</v>
      </c>
      <c r="AF14" s="34">
        <v>180</v>
      </c>
      <c r="AG14" s="34">
        <v>21</v>
      </c>
      <c r="AH14" s="23">
        <f t="shared" si="2"/>
        <v>65.63606839999998</v>
      </c>
      <c r="AJ14" s="7" t="s">
        <v>125</v>
      </c>
      <c r="AK14" s="33">
        <v>3939.74</v>
      </c>
      <c r="AL14" s="33">
        <f>1.19*12</f>
        <v>14.28</v>
      </c>
      <c r="AM14" s="34">
        <v>180</v>
      </c>
      <c r="AN14" s="34">
        <v>22</v>
      </c>
      <c r="AO14" s="23">
        <f t="shared" si="3"/>
        <v>68.76159546666665</v>
      </c>
      <c r="AQ14" s="7" t="s">
        <v>125</v>
      </c>
      <c r="AR14" s="33">
        <v>3939.74</v>
      </c>
      <c r="AS14" s="33">
        <f>1.19*12</f>
        <v>14.28</v>
      </c>
      <c r="AT14" s="34">
        <v>216</v>
      </c>
      <c r="AU14" s="34">
        <v>24</v>
      </c>
      <c r="AV14" s="23">
        <f t="shared" si="4"/>
        <v>62.51054133333332</v>
      </c>
      <c r="AX14" s="7" t="s">
        <v>125</v>
      </c>
      <c r="AY14" s="33">
        <v>3939.74</v>
      </c>
      <c r="AZ14" s="33">
        <f>1.19*12</f>
        <v>14.28</v>
      </c>
      <c r="BA14" s="34">
        <v>180</v>
      </c>
      <c r="BB14" s="34">
        <v>21</v>
      </c>
      <c r="BC14" s="23">
        <f t="shared" si="5"/>
        <v>65.63606839999998</v>
      </c>
      <c r="BE14" s="7" t="s">
        <v>125</v>
      </c>
      <c r="BF14" s="33">
        <v>3939.74</v>
      </c>
      <c r="BG14" s="33">
        <f>1.19*12</f>
        <v>14.28</v>
      </c>
      <c r="BH14" s="34">
        <v>180</v>
      </c>
      <c r="BI14" s="34">
        <v>22</v>
      </c>
      <c r="BJ14" s="23">
        <f t="shared" si="6"/>
        <v>68.76159546666665</v>
      </c>
      <c r="BL14" s="7" t="s">
        <v>125</v>
      </c>
      <c r="BM14" s="33">
        <v>3939.74</v>
      </c>
      <c r="BN14" s="33">
        <f>1.19*12</f>
        <v>14.28</v>
      </c>
      <c r="BO14" s="34">
        <v>288</v>
      </c>
      <c r="BP14" s="34">
        <v>32</v>
      </c>
      <c r="BQ14" s="23">
        <f t="shared" si="7"/>
        <v>62.51054133333332</v>
      </c>
      <c r="BS14" s="7" t="s">
        <v>125</v>
      </c>
      <c r="BT14" s="33">
        <v>3939.74</v>
      </c>
      <c r="BU14" s="33">
        <f>1.19*12</f>
        <v>14.28</v>
      </c>
      <c r="BV14" s="34">
        <v>324</v>
      </c>
      <c r="BW14" s="34">
        <v>36</v>
      </c>
      <c r="BX14" s="23">
        <f t="shared" si="8"/>
        <v>62.51054133333332</v>
      </c>
      <c r="BZ14" s="7" t="s">
        <v>125</v>
      </c>
      <c r="CA14" s="33">
        <v>3939.74</v>
      </c>
      <c r="CB14" s="33">
        <f>1.19*12</f>
        <v>14.28</v>
      </c>
      <c r="CC14" s="34">
        <v>288</v>
      </c>
      <c r="CD14" s="34">
        <v>32</v>
      </c>
      <c r="CE14" s="23">
        <f t="shared" si="9"/>
        <v>62.51054133333332</v>
      </c>
      <c r="CG14" s="7" t="s">
        <v>125</v>
      </c>
      <c r="CH14" s="33">
        <v>3939.74</v>
      </c>
      <c r="CI14" s="33">
        <f>1.19*12</f>
        <v>14.28</v>
      </c>
      <c r="CJ14" s="34">
        <v>324</v>
      </c>
      <c r="CK14" s="34">
        <v>36</v>
      </c>
      <c r="CL14" s="23">
        <f t="shared" si="10"/>
        <v>62.51054133333332</v>
      </c>
    </row>
    <row r="15" spans="1:90" ht="12.75">
      <c r="A15" s="7" t="s">
        <v>134</v>
      </c>
      <c r="B15" s="33">
        <v>26268</v>
      </c>
      <c r="C15" s="33">
        <f t="shared" si="11"/>
        <v>20.004</v>
      </c>
      <c r="D15" s="34">
        <v>39</v>
      </c>
      <c r="E15" s="34">
        <v>1</v>
      </c>
      <c r="F15" s="23">
        <f t="shared" si="12"/>
        <v>134.73463384615386</v>
      </c>
      <c r="O15" s="9" t="s">
        <v>124</v>
      </c>
      <c r="P15" s="33"/>
      <c r="Q15" s="33"/>
      <c r="R15" s="33"/>
      <c r="S15" s="33"/>
      <c r="T15" s="23">
        <f>SUM(T9:T14)</f>
        <v>2256.7228751150437</v>
      </c>
      <c r="V15" s="9" t="s">
        <v>124</v>
      </c>
      <c r="W15" s="33"/>
      <c r="X15" s="33"/>
      <c r="Y15" s="33"/>
      <c r="Z15" s="33"/>
      <c r="AA15" s="23">
        <f>SUM(AA9:AA14)</f>
        <v>1574.133857333333</v>
      </c>
      <c r="AC15" s="9" t="s">
        <v>124</v>
      </c>
      <c r="AD15" s="33"/>
      <c r="AE15" s="33"/>
      <c r="AF15" s="33"/>
      <c r="AG15" s="33"/>
      <c r="AH15" s="23">
        <f>SUM(AH9:AH14)</f>
        <v>1652.8405501999998</v>
      </c>
      <c r="AJ15" s="9" t="s">
        <v>124</v>
      </c>
      <c r="AK15" s="33"/>
      <c r="AL15" s="33"/>
      <c r="AM15" s="33"/>
      <c r="AN15" s="33"/>
      <c r="AO15" s="23">
        <f>SUM(AO9:AO14)</f>
        <v>1731.5472430666666</v>
      </c>
      <c r="AQ15" s="9" t="s">
        <v>124</v>
      </c>
      <c r="AR15" s="33"/>
      <c r="AS15" s="33"/>
      <c r="AT15" s="33"/>
      <c r="AU15" s="33"/>
      <c r="AV15" s="23">
        <f>SUM(AV9:AV14)</f>
        <v>1574.133857333333</v>
      </c>
      <c r="AX15" s="9" t="s">
        <v>124</v>
      </c>
      <c r="AY15" s="33"/>
      <c r="AZ15" s="33"/>
      <c r="BA15" s="33"/>
      <c r="BB15" s="33"/>
      <c r="BC15" s="23">
        <f>SUM(BC9:BC14)</f>
        <v>1652.8405501999998</v>
      </c>
      <c r="BE15" s="9" t="s">
        <v>124</v>
      </c>
      <c r="BF15" s="33"/>
      <c r="BG15" s="33"/>
      <c r="BH15" s="33"/>
      <c r="BI15" s="33"/>
      <c r="BJ15" s="23">
        <f>SUM(BJ9:BJ14)</f>
        <v>1731.5472430666666</v>
      </c>
      <c r="BL15" s="9" t="s">
        <v>124</v>
      </c>
      <c r="BM15" s="33"/>
      <c r="BN15" s="33"/>
      <c r="BO15" s="33"/>
      <c r="BP15" s="33"/>
      <c r="BQ15" s="23">
        <f>SUM(BQ9:BQ14)</f>
        <v>1574.133857333333</v>
      </c>
      <c r="BS15" s="9" t="s">
        <v>124</v>
      </c>
      <c r="BT15" s="33"/>
      <c r="BU15" s="33"/>
      <c r="BV15" s="33"/>
      <c r="BW15" s="33"/>
      <c r="BX15" s="23">
        <f>SUM(BX9:BX14)</f>
        <v>1574.133857333333</v>
      </c>
      <c r="BZ15" s="9" t="s">
        <v>124</v>
      </c>
      <c r="CA15" s="33"/>
      <c r="CB15" s="33"/>
      <c r="CC15" s="33"/>
      <c r="CD15" s="33"/>
      <c r="CE15" s="23">
        <f>SUM(CE9:CE14)</f>
        <v>1574.133857333333</v>
      </c>
      <c r="CG15" s="9" t="s">
        <v>124</v>
      </c>
      <c r="CH15" s="33"/>
      <c r="CI15" s="33"/>
      <c r="CJ15" s="33"/>
      <c r="CK15" s="33"/>
      <c r="CL15" s="23">
        <f>SUM(CL9:CL14)</f>
        <v>1574.133857333333</v>
      </c>
    </row>
    <row r="16" spans="1:6" ht="25.5">
      <c r="A16" s="7" t="s">
        <v>130</v>
      </c>
      <c r="B16" s="33">
        <v>28000</v>
      </c>
      <c r="C16" s="33">
        <f t="shared" si="11"/>
        <v>20.004</v>
      </c>
      <c r="D16" s="34">
        <v>39</v>
      </c>
      <c r="E16" s="34">
        <v>1</v>
      </c>
      <c r="F16" s="23">
        <f t="shared" si="12"/>
        <v>143.61846153846156</v>
      </c>
    </row>
    <row r="17" spans="1:6" ht="12.75">
      <c r="A17" s="7" t="s">
        <v>135</v>
      </c>
      <c r="B17" s="33">
        <v>9270</v>
      </c>
      <c r="C17" s="33">
        <f>1.19*12</f>
        <v>14.28</v>
      </c>
      <c r="D17" s="34">
        <v>39</v>
      </c>
      <c r="E17" s="34">
        <v>1</v>
      </c>
      <c r="F17" s="23">
        <f t="shared" si="12"/>
        <v>33.94246153846154</v>
      </c>
    </row>
    <row r="18" spans="1:6" ht="12.75">
      <c r="A18" s="7" t="s">
        <v>136</v>
      </c>
      <c r="B18" s="33">
        <v>14950</v>
      </c>
      <c r="C18" s="33">
        <f>1.19*12</f>
        <v>14.28</v>
      </c>
      <c r="D18" s="34">
        <v>39</v>
      </c>
      <c r="E18" s="34">
        <v>1</v>
      </c>
      <c r="F18" s="23">
        <f t="shared" si="12"/>
        <v>54.739999999999995</v>
      </c>
    </row>
    <row r="19" spans="1:6" ht="12.75">
      <c r="A19" s="7" t="s">
        <v>137</v>
      </c>
      <c r="B19" s="33">
        <v>18900</v>
      </c>
      <c r="C19" s="33">
        <f>1.19*12</f>
        <v>14.28</v>
      </c>
      <c r="D19" s="34">
        <v>39</v>
      </c>
      <c r="E19" s="34">
        <v>1</v>
      </c>
      <c r="F19" s="23">
        <f t="shared" si="12"/>
        <v>69.2030769230769</v>
      </c>
    </row>
    <row r="20" spans="1:6" ht="12.75">
      <c r="A20" s="7" t="s">
        <v>138</v>
      </c>
      <c r="B20" s="33">
        <v>6550</v>
      </c>
      <c r="C20" s="33">
        <f>1.19*12</f>
        <v>14.28</v>
      </c>
      <c r="D20" s="34">
        <v>39</v>
      </c>
      <c r="E20" s="34">
        <v>1</v>
      </c>
      <c r="F20" s="23">
        <f t="shared" si="12"/>
        <v>23.983076923076922</v>
      </c>
    </row>
    <row r="21" spans="1:6" ht="12.75">
      <c r="A21" s="7" t="s">
        <v>139</v>
      </c>
      <c r="B21" s="33">
        <v>5140.8</v>
      </c>
      <c r="C21" s="33">
        <f>0.556*12</f>
        <v>6.672000000000001</v>
      </c>
      <c r="D21" s="34">
        <v>39</v>
      </c>
      <c r="E21" s="34">
        <v>1</v>
      </c>
      <c r="F21" s="23">
        <f t="shared" si="12"/>
        <v>8.794722461538463</v>
      </c>
    </row>
    <row r="22" spans="1:6" ht="12.75">
      <c r="A22" s="7" t="s">
        <v>140</v>
      </c>
      <c r="B22" s="33">
        <v>4430</v>
      </c>
      <c r="C22" s="33">
        <f>0.556*12</f>
        <v>6.672000000000001</v>
      </c>
      <c r="D22" s="34">
        <v>39</v>
      </c>
      <c r="E22" s="34">
        <v>1</v>
      </c>
      <c r="F22" s="23">
        <f t="shared" si="12"/>
        <v>7.578707692307692</v>
      </c>
    </row>
    <row r="23" spans="1:6" ht="12.75">
      <c r="A23" s="7" t="s">
        <v>141</v>
      </c>
      <c r="B23" s="33">
        <v>124794.11</v>
      </c>
      <c r="C23" s="33">
        <f>1.19*12</f>
        <v>14.28</v>
      </c>
      <c r="D23" s="34">
        <v>39</v>
      </c>
      <c r="E23" s="34">
        <v>1</v>
      </c>
      <c r="F23" s="23">
        <f t="shared" si="12"/>
        <v>456.9384335384614</v>
      </c>
    </row>
    <row r="24" spans="1:6" ht="12.75">
      <c r="A24" s="7" t="s">
        <v>142</v>
      </c>
      <c r="B24" s="33">
        <v>30339.51</v>
      </c>
      <c r="C24" s="33">
        <f>0.872*12</f>
        <v>10.464</v>
      </c>
      <c r="D24" s="34">
        <v>39</v>
      </c>
      <c r="E24" s="34">
        <v>1</v>
      </c>
      <c r="F24" s="23">
        <f t="shared" si="12"/>
        <v>81.40323913846154</v>
      </c>
    </row>
    <row r="25" spans="1:6" ht="12.75">
      <c r="A25" s="7" t="s">
        <v>143</v>
      </c>
      <c r="B25" s="33">
        <v>23385.88</v>
      </c>
      <c r="C25" s="33">
        <f>0.22*12</f>
        <v>2.64</v>
      </c>
      <c r="D25" s="34">
        <v>39</v>
      </c>
      <c r="E25" s="34">
        <v>1</v>
      </c>
      <c r="F25" s="23">
        <f t="shared" si="12"/>
        <v>15.830441846153848</v>
      </c>
    </row>
    <row r="26" spans="1:6" ht="25.5">
      <c r="A26" s="7" t="s">
        <v>144</v>
      </c>
      <c r="B26" s="33">
        <v>50087.1</v>
      </c>
      <c r="C26" s="33">
        <f>0.919*12</f>
        <v>11.028</v>
      </c>
      <c r="D26" s="34">
        <v>39</v>
      </c>
      <c r="E26" s="34">
        <v>1</v>
      </c>
      <c r="F26" s="23">
        <f t="shared" si="12"/>
        <v>141.63090738461537</v>
      </c>
    </row>
    <row r="27" spans="1:6" ht="12.75">
      <c r="A27" s="7" t="s">
        <v>145</v>
      </c>
      <c r="B27" s="33">
        <v>8894.06</v>
      </c>
      <c r="C27" s="33">
        <f>0.556*12</f>
        <v>6.672000000000001</v>
      </c>
      <c r="D27" s="34">
        <v>39</v>
      </c>
      <c r="E27" s="34">
        <v>1</v>
      </c>
      <c r="F27" s="23">
        <f t="shared" si="12"/>
        <v>15.215684184615384</v>
      </c>
    </row>
    <row r="28" spans="1:6" ht="25.5">
      <c r="A28" s="7" t="s">
        <v>146</v>
      </c>
      <c r="B28" s="33">
        <v>14361.57</v>
      </c>
      <c r="C28" s="33">
        <f>0.556*12</f>
        <v>6.672000000000001</v>
      </c>
      <c r="D28" s="34">
        <v>39</v>
      </c>
      <c r="E28" s="34">
        <v>1</v>
      </c>
      <c r="F28" s="23">
        <f t="shared" si="12"/>
        <v>24.569332061538464</v>
      </c>
    </row>
    <row r="29" spans="1:6" ht="12.75">
      <c r="A29" s="7" t="s">
        <v>147</v>
      </c>
      <c r="B29" s="33">
        <v>12285.96</v>
      </c>
      <c r="C29" s="33">
        <f>0.556*12</f>
        <v>6.672000000000001</v>
      </c>
      <c r="D29" s="34">
        <v>39</v>
      </c>
      <c r="E29" s="34">
        <v>1</v>
      </c>
      <c r="F29" s="23">
        <f t="shared" si="12"/>
        <v>21.018442338461536</v>
      </c>
    </row>
    <row r="30" spans="1:6" ht="12.75">
      <c r="A30" s="7" t="s">
        <v>148</v>
      </c>
      <c r="B30" s="33">
        <v>16085</v>
      </c>
      <c r="C30" s="33">
        <f>0.556*12</f>
        <v>6.672000000000001</v>
      </c>
      <c r="D30" s="34">
        <v>39</v>
      </c>
      <c r="E30" s="34">
        <v>1</v>
      </c>
      <c r="F30" s="23">
        <f t="shared" si="12"/>
        <v>27.517723076923076</v>
      </c>
    </row>
    <row r="31" spans="1:6" ht="12.75">
      <c r="A31" s="7" t="s">
        <v>149</v>
      </c>
      <c r="B31" s="33">
        <v>126754.11</v>
      </c>
      <c r="C31" s="33">
        <f>0.387*12</f>
        <v>4.644</v>
      </c>
      <c r="D31" s="34">
        <v>39</v>
      </c>
      <c r="E31" s="34">
        <v>1</v>
      </c>
      <c r="F31" s="23">
        <f t="shared" si="12"/>
        <v>150.93489406153847</v>
      </c>
    </row>
    <row r="32" spans="1:6" ht="12.75">
      <c r="A32" s="7" t="s">
        <v>150</v>
      </c>
      <c r="B32" s="33">
        <v>44408.25</v>
      </c>
      <c r="C32" s="33">
        <f>0.455*12</f>
        <v>5.46</v>
      </c>
      <c r="D32" s="34">
        <v>39</v>
      </c>
      <c r="E32" s="34">
        <v>1</v>
      </c>
      <c r="F32" s="23">
        <f t="shared" si="12"/>
        <v>62.17155</v>
      </c>
    </row>
    <row r="33" spans="1:6" ht="12.75">
      <c r="A33" s="7" t="s">
        <v>151</v>
      </c>
      <c r="B33" s="33">
        <v>11074.65</v>
      </c>
      <c r="C33" s="33">
        <f>2.778*12</f>
        <v>33.336</v>
      </c>
      <c r="D33" s="34">
        <v>39</v>
      </c>
      <c r="E33" s="34">
        <v>1</v>
      </c>
      <c r="F33" s="23">
        <f t="shared" si="12"/>
        <v>94.66270061538461</v>
      </c>
    </row>
    <row r="34" spans="1:6" ht="12.75">
      <c r="A34" s="7" t="s">
        <v>152</v>
      </c>
      <c r="B34" s="33">
        <v>11701.27</v>
      </c>
      <c r="C34" s="33">
        <f>2.778*12</f>
        <v>33.336</v>
      </c>
      <c r="D34" s="34">
        <v>39</v>
      </c>
      <c r="E34" s="34">
        <v>1</v>
      </c>
      <c r="F34" s="23">
        <f t="shared" si="12"/>
        <v>100.01885556923077</v>
      </c>
    </row>
    <row r="35" spans="1:6" ht="12.75">
      <c r="A35" s="7" t="s">
        <v>153</v>
      </c>
      <c r="B35" s="33">
        <v>2803.98</v>
      </c>
      <c r="C35" s="33">
        <f>2.778*12</f>
        <v>33.336</v>
      </c>
      <c r="D35" s="34">
        <v>39</v>
      </c>
      <c r="E35" s="34">
        <v>1</v>
      </c>
      <c r="F35" s="23">
        <f t="shared" si="12"/>
        <v>23.967558276923075</v>
      </c>
    </row>
    <row r="36" spans="1:6" ht="12.75">
      <c r="A36" s="7" t="s">
        <v>154</v>
      </c>
      <c r="B36" s="33">
        <v>40137.12</v>
      </c>
      <c r="C36" s="33">
        <f>0.833*12</f>
        <v>9.995999999999999</v>
      </c>
      <c r="D36" s="34">
        <v>39</v>
      </c>
      <c r="E36" s="34">
        <v>1</v>
      </c>
      <c r="F36" s="23">
        <f t="shared" si="12"/>
        <v>102.87452603076923</v>
      </c>
    </row>
    <row r="37" spans="1:6" ht="12.75">
      <c r="A37" s="7" t="s">
        <v>155</v>
      </c>
      <c r="B37" s="33">
        <v>19600</v>
      </c>
      <c r="C37" s="33">
        <f>0.556*12</f>
        <v>6.672000000000001</v>
      </c>
      <c r="D37" s="34">
        <v>39</v>
      </c>
      <c r="E37" s="34">
        <v>1</v>
      </c>
      <c r="F37" s="23">
        <f t="shared" si="12"/>
        <v>33.531076923076924</v>
      </c>
    </row>
    <row r="38" spans="1:6" ht="25.5">
      <c r="A38" s="7" t="s">
        <v>156</v>
      </c>
      <c r="B38" s="33">
        <v>18550</v>
      </c>
      <c r="C38" s="33">
        <f>1.667*12</f>
        <v>20.004</v>
      </c>
      <c r="D38" s="34">
        <v>39</v>
      </c>
      <c r="E38" s="34">
        <v>1</v>
      </c>
      <c r="F38" s="23">
        <f t="shared" si="12"/>
        <v>95.14723076923079</v>
      </c>
    </row>
    <row r="39" spans="1:6" ht="12.75">
      <c r="A39" s="7" t="s">
        <v>157</v>
      </c>
      <c r="B39" s="33">
        <v>3868.02</v>
      </c>
      <c r="C39" s="33">
        <f>0.556*12</f>
        <v>6.672000000000001</v>
      </c>
      <c r="D39" s="34">
        <v>39</v>
      </c>
      <c r="E39" s="34">
        <v>1</v>
      </c>
      <c r="F39" s="23">
        <f t="shared" si="12"/>
        <v>6.617289599999999</v>
      </c>
    </row>
    <row r="40" spans="1:6" ht="12.75">
      <c r="A40" s="7" t="s">
        <v>158</v>
      </c>
      <c r="B40" s="33">
        <v>885</v>
      </c>
      <c r="C40" s="33">
        <f>2.778*12</f>
        <v>33.336</v>
      </c>
      <c r="D40" s="34">
        <v>39</v>
      </c>
      <c r="E40" s="34">
        <v>1</v>
      </c>
      <c r="F40" s="23">
        <f t="shared" si="12"/>
        <v>7.564707692307692</v>
      </c>
    </row>
    <row r="41" spans="1:6" ht="12.75">
      <c r="A41" s="7" t="s">
        <v>159</v>
      </c>
      <c r="B41" s="33">
        <v>16239.49</v>
      </c>
      <c r="C41" s="33">
        <f>1.667*12</f>
        <v>20.004</v>
      </c>
      <c r="D41" s="34">
        <v>39</v>
      </c>
      <c r="E41" s="34">
        <v>1</v>
      </c>
      <c r="F41" s="23">
        <f t="shared" si="12"/>
        <v>83.2960917846154</v>
      </c>
    </row>
    <row r="42" spans="1:6" ht="12.75">
      <c r="A42" s="7" t="s">
        <v>160</v>
      </c>
      <c r="B42" s="33">
        <v>1550.4</v>
      </c>
      <c r="C42" s="33">
        <f>1.19*12</f>
        <v>14.28</v>
      </c>
      <c r="D42" s="34">
        <v>39</v>
      </c>
      <c r="E42" s="34">
        <v>1</v>
      </c>
      <c r="F42" s="23">
        <f t="shared" si="12"/>
        <v>5.67684923076923</v>
      </c>
    </row>
    <row r="43" spans="1:6" ht="12.75">
      <c r="A43" s="7" t="s">
        <v>161</v>
      </c>
      <c r="B43" s="33">
        <v>18500</v>
      </c>
      <c r="C43" s="33">
        <f>1.19*12</f>
        <v>14.28</v>
      </c>
      <c r="D43" s="34">
        <v>39</v>
      </c>
      <c r="E43" s="34">
        <v>1</v>
      </c>
      <c r="F43" s="23">
        <f t="shared" si="12"/>
        <v>67.73846153846154</v>
      </c>
    </row>
    <row r="44" spans="1:6" ht="12.75">
      <c r="A44" s="9" t="s">
        <v>124</v>
      </c>
      <c r="B44" s="33"/>
      <c r="C44" s="33"/>
      <c r="D44" s="33"/>
      <c r="E44" s="33"/>
      <c r="F44" s="23">
        <f>SUM(F9:F43)</f>
        <v>2558.090675046154</v>
      </c>
    </row>
    <row r="46" spans="1:63" ht="12.75">
      <c r="A46" s="41"/>
      <c r="B46" s="41"/>
      <c r="C46" s="3"/>
      <c r="D46" s="41"/>
      <c r="E46" s="4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7:63" ht="12.75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7:63" ht="12.75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2.75" customHeight="1">
      <c r="A49" s="41"/>
      <c r="B49" s="41"/>
      <c r="C49" s="4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</sheetData>
  <sheetProtection/>
  <mergeCells count="56">
    <mergeCell ref="E1:F1"/>
    <mergeCell ref="A46:B46"/>
    <mergeCell ref="D46:E46"/>
    <mergeCell ref="A49:C49"/>
    <mergeCell ref="A2:F2"/>
    <mergeCell ref="H2:M2"/>
    <mergeCell ref="O2:T2"/>
    <mergeCell ref="V2:AA2"/>
    <mergeCell ref="AC2:AH2"/>
    <mergeCell ref="AJ2:AO2"/>
    <mergeCell ref="AQ2:AV2"/>
    <mergeCell ref="AX2:BC2"/>
    <mergeCell ref="BE2:BJ2"/>
    <mergeCell ref="BL2:BQ2"/>
    <mergeCell ref="BS2:BX2"/>
    <mergeCell ref="BZ2:CE2"/>
    <mergeCell ref="CG2:CL2"/>
    <mergeCell ref="A3:F3"/>
    <mergeCell ref="H3:M3"/>
    <mergeCell ref="O3:T3"/>
    <mergeCell ref="V3:AA3"/>
    <mergeCell ref="AC3:AH3"/>
    <mergeCell ref="AJ3:AO3"/>
    <mergeCell ref="AQ3:AV3"/>
    <mergeCell ref="AX3:BC3"/>
    <mergeCell ref="BE3:BJ3"/>
    <mergeCell ref="CG3:CL3"/>
    <mergeCell ref="A4:F4"/>
    <mergeCell ref="H4:M4"/>
    <mergeCell ref="O4:T4"/>
    <mergeCell ref="V4:AA4"/>
    <mergeCell ref="AC4:AH4"/>
    <mergeCell ref="BL4:BQ4"/>
    <mergeCell ref="BS4:BX4"/>
    <mergeCell ref="BZ4:CE4"/>
    <mergeCell ref="BL3:BQ3"/>
    <mergeCell ref="BS3:BX3"/>
    <mergeCell ref="BZ3:CE3"/>
    <mergeCell ref="AJ5:AO5"/>
    <mergeCell ref="AQ5:AV5"/>
    <mergeCell ref="AX5:BC5"/>
    <mergeCell ref="BE5:BJ5"/>
    <mergeCell ref="AQ4:AV4"/>
    <mergeCell ref="AX4:BC4"/>
    <mergeCell ref="BE4:BJ4"/>
    <mergeCell ref="AJ4:AO4"/>
    <mergeCell ref="BL5:BQ5"/>
    <mergeCell ref="BS5:BX5"/>
    <mergeCell ref="BZ5:CE5"/>
    <mergeCell ref="CG5:CL5"/>
    <mergeCell ref="CG4:CL4"/>
    <mergeCell ref="A5:F5"/>
    <mergeCell ref="H5:M5"/>
    <mergeCell ref="O5:T5"/>
    <mergeCell ref="V5:AA5"/>
    <mergeCell ref="AC5:AH5"/>
  </mergeCells>
  <printOptions/>
  <pageMargins left="0.7874015748031497" right="0" top="0.3937007874015748" bottom="0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9"/>
  <sheetViews>
    <sheetView view="pageBreakPreview" zoomScale="80" zoomScaleNormal="120" zoomScaleSheetLayoutView="80" zoomScalePageLayoutView="0" workbookViewId="0" topLeftCell="A1">
      <selection activeCell="N19" sqref="N19"/>
    </sheetView>
  </sheetViews>
  <sheetFormatPr defaultColWidth="9.00390625" defaultRowHeight="12.75"/>
  <cols>
    <col min="1" max="1" width="6.25390625" style="1" customWidth="1"/>
    <col min="2" max="2" width="43.00390625" style="1" customWidth="1"/>
    <col min="3" max="3" width="23.25390625" style="1" customWidth="1"/>
    <col min="4" max="4" width="13.625" style="1" customWidth="1"/>
    <col min="5" max="5" width="9.75390625" style="1" bestFit="1" customWidth="1"/>
    <col min="6" max="26" width="9.25390625" style="1" customWidth="1"/>
  </cols>
  <sheetData>
    <row r="1" spans="3:4" ht="90" customHeight="1">
      <c r="C1" s="41" t="s">
        <v>256</v>
      </c>
      <c r="D1" s="41"/>
    </row>
    <row r="2" spans="1:4" ht="12.75">
      <c r="A2" s="54" t="s">
        <v>11</v>
      </c>
      <c r="B2" s="54"/>
      <c r="C2" s="54"/>
      <c r="D2" s="54"/>
    </row>
    <row r="3" spans="1:4" ht="40.5" customHeight="1">
      <c r="A3" s="54" t="s">
        <v>91</v>
      </c>
      <c r="B3" s="54"/>
      <c r="C3" s="54"/>
      <c r="D3" s="54"/>
    </row>
    <row r="4" spans="1:4" ht="12.75">
      <c r="A4" s="54"/>
      <c r="B4" s="54"/>
      <c r="C4" s="54"/>
      <c r="D4" s="54"/>
    </row>
    <row r="5" spans="1:4" ht="12.75" customHeight="1">
      <c r="A5" s="54" t="s">
        <v>244</v>
      </c>
      <c r="B5" s="54"/>
      <c r="C5" s="54"/>
      <c r="D5" s="54"/>
    </row>
    <row r="6" spans="1:4" ht="12.75" customHeight="1">
      <c r="A6" s="46" t="s">
        <v>223</v>
      </c>
      <c r="B6" s="54"/>
      <c r="C6" s="54"/>
      <c r="D6" s="54"/>
    </row>
    <row r="8" spans="1:4" ht="39" customHeight="1">
      <c r="A8" s="4" t="s">
        <v>0</v>
      </c>
      <c r="B8" s="4" t="s">
        <v>1</v>
      </c>
      <c r="C8" s="4" t="s">
        <v>13</v>
      </c>
      <c r="D8" s="4" t="s">
        <v>2</v>
      </c>
    </row>
    <row r="9" spans="1:4" ht="12.75">
      <c r="A9" s="4">
        <v>1</v>
      </c>
      <c r="B9" s="4" t="s">
        <v>3</v>
      </c>
      <c r="C9" s="4"/>
      <c r="D9" s="14">
        <f>SUM(D10:D13)</f>
        <v>471.99410697359514</v>
      </c>
    </row>
    <row r="10" spans="1:4" ht="25.5">
      <c r="A10" s="4"/>
      <c r="B10" s="7" t="s">
        <v>84</v>
      </c>
      <c r="C10" s="4" t="s">
        <v>218</v>
      </c>
      <c r="D10" s="14">
        <f>15136.16*1.1*1.7/(1772.4/12)</f>
        <v>191.6358781313473</v>
      </c>
    </row>
    <row r="11" spans="1:27" s="1" customFormat="1" ht="12.75">
      <c r="A11" s="4"/>
      <c r="B11" s="7" t="s">
        <v>85</v>
      </c>
      <c r="C11" s="4" t="s">
        <v>219</v>
      </c>
      <c r="D11" s="14">
        <f>9608.56*1.1*2.2/(1772.4/12)</f>
        <v>157.43205958023023</v>
      </c>
      <c r="AA11"/>
    </row>
    <row r="12" spans="1:27" s="1" customFormat="1" ht="12.75">
      <c r="A12" s="4"/>
      <c r="B12" s="7" t="s">
        <v>86</v>
      </c>
      <c r="C12" s="4" t="s">
        <v>220</v>
      </c>
      <c r="D12" s="14">
        <f>5209.36*1.1*2.2/(1772.4/12)</f>
        <v>85.35308869329722</v>
      </c>
      <c r="AA12"/>
    </row>
    <row r="13" spans="1:27" s="1" customFormat="1" ht="12.75">
      <c r="A13" s="4"/>
      <c r="B13" s="7" t="s">
        <v>87</v>
      </c>
      <c r="C13" s="4" t="s">
        <v>221</v>
      </c>
      <c r="D13" s="14">
        <f>2293.2*1.1*2.2/(1772.4/12)</f>
        <v>37.57308056872038</v>
      </c>
      <c r="AA13"/>
    </row>
    <row r="14" spans="1:27" s="1" customFormat="1" ht="12.75">
      <c r="A14" s="4">
        <v>2</v>
      </c>
      <c r="B14" s="4" t="s">
        <v>12</v>
      </c>
      <c r="C14" s="13">
        <v>0.302</v>
      </c>
      <c r="D14" s="14">
        <f>D9*C14</f>
        <v>142.54222030602574</v>
      </c>
      <c r="F14" s="2"/>
      <c r="AA14"/>
    </row>
    <row r="15" spans="1:4" ht="12.75">
      <c r="A15" s="4">
        <v>3</v>
      </c>
      <c r="B15" s="4" t="s">
        <v>4</v>
      </c>
      <c r="C15" s="4"/>
      <c r="D15" s="14">
        <v>300</v>
      </c>
    </row>
    <row r="16" spans="1:4" ht="12.75">
      <c r="A16" s="4"/>
      <c r="B16" s="7" t="s">
        <v>52</v>
      </c>
      <c r="C16" s="4"/>
      <c r="D16" s="14">
        <v>300</v>
      </c>
    </row>
    <row r="17" spans="1:4" ht="12.75">
      <c r="A17" s="4">
        <v>4</v>
      </c>
      <c r="B17" s="4" t="s">
        <v>5</v>
      </c>
      <c r="C17" s="4"/>
      <c r="D17" s="14">
        <f>D9+D14+D15</f>
        <v>914.5363272796209</v>
      </c>
    </row>
    <row r="18" spans="1:4" ht="12.75">
      <c r="A18" s="4">
        <v>5</v>
      </c>
      <c r="B18" s="4" t="s">
        <v>14</v>
      </c>
      <c r="C18" s="4">
        <v>1.81</v>
      </c>
      <c r="D18" s="14">
        <f>D17*C18</f>
        <v>1655.310752376114</v>
      </c>
    </row>
    <row r="19" spans="1:4" ht="12.75">
      <c r="A19" s="4">
        <v>6</v>
      </c>
      <c r="B19" s="4" t="s">
        <v>6</v>
      </c>
      <c r="C19" s="4"/>
      <c r="D19" s="14">
        <f>D17+D18</f>
        <v>2569.847079655735</v>
      </c>
    </row>
    <row r="20" spans="1:4" ht="12.75">
      <c r="A20" s="4">
        <v>7</v>
      </c>
      <c r="B20" s="4" t="s">
        <v>49</v>
      </c>
      <c r="C20" s="15">
        <v>0.17</v>
      </c>
      <c r="D20" s="14">
        <f>D19*C20</f>
        <v>436.87400354147496</v>
      </c>
    </row>
    <row r="21" spans="1:4" ht="12.75">
      <c r="A21" s="4">
        <v>8</v>
      </c>
      <c r="B21" s="4" t="s">
        <v>8</v>
      </c>
      <c r="C21" s="4"/>
      <c r="D21" s="14">
        <f>D19+D20</f>
        <v>3006.7210831972097</v>
      </c>
    </row>
    <row r="23" spans="1:4" ht="12.75">
      <c r="A23" s="55" t="s">
        <v>224</v>
      </c>
      <c r="B23" s="55"/>
      <c r="C23" s="55"/>
      <c r="D23" s="55"/>
    </row>
    <row r="24" spans="1:4" ht="12.75">
      <c r="A24" s="41"/>
      <c r="B24" s="41"/>
      <c r="C24" s="41"/>
      <c r="D24" s="41"/>
    </row>
    <row r="25" ht="13.5" customHeight="1">
      <c r="C25" s="40"/>
    </row>
    <row r="26" spans="1:27" ht="12.75">
      <c r="A26" s="41"/>
      <c r="B26" s="41"/>
      <c r="C26" s="3"/>
      <c r="D26" s="3"/>
      <c r="AA26" s="1"/>
    </row>
    <row r="27" ht="12.75">
      <c r="AA27" s="1"/>
    </row>
    <row r="28" ht="12.75">
      <c r="AA28" s="1"/>
    </row>
    <row r="29" spans="1:27" ht="12.75" customHeight="1">
      <c r="A29" s="41"/>
      <c r="B29" s="41"/>
      <c r="C29" s="41"/>
      <c r="AA29" s="1"/>
    </row>
  </sheetData>
  <sheetProtection/>
  <mergeCells count="10">
    <mergeCell ref="A23:D23"/>
    <mergeCell ref="A24:D24"/>
    <mergeCell ref="A26:B26"/>
    <mergeCell ref="A29:C29"/>
    <mergeCell ref="C1:D1"/>
    <mergeCell ref="A2:D2"/>
    <mergeCell ref="A3:D3"/>
    <mergeCell ref="A4:D4"/>
    <mergeCell ref="A5:D5"/>
    <mergeCell ref="A6:D6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85" zoomScaleSheetLayoutView="85" zoomScalePageLayoutView="0" workbookViewId="0" topLeftCell="A1">
      <selection activeCell="D6" sqref="D6"/>
    </sheetView>
  </sheetViews>
  <sheetFormatPr defaultColWidth="9.00390625" defaultRowHeight="12.75"/>
  <cols>
    <col min="1" max="1" width="4.00390625" style="1" customWidth="1"/>
    <col min="2" max="2" width="12.75390625" style="1" customWidth="1"/>
    <col min="3" max="3" width="28.75390625" style="1" customWidth="1"/>
    <col min="4" max="8" width="15.25390625" style="1" customWidth="1"/>
    <col min="9" max="9" width="10.00390625" style="1" bestFit="1" customWidth="1"/>
    <col min="10" max="21" width="9.25390625" style="1" customWidth="1"/>
  </cols>
  <sheetData>
    <row r="1" spans="6:7" ht="79.5" customHeight="1">
      <c r="F1" s="41" t="s">
        <v>241</v>
      </c>
      <c r="G1" s="41"/>
    </row>
    <row r="2" spans="1:7" ht="20.25" customHeight="1">
      <c r="A2" s="17"/>
      <c r="B2" s="53" t="s">
        <v>13</v>
      </c>
      <c r="C2" s="53"/>
      <c r="D2" s="53"/>
      <c r="E2" s="53"/>
      <c r="F2" s="53"/>
      <c r="G2" s="53"/>
    </row>
    <row r="3" spans="1:7" ht="20.25" customHeight="1">
      <c r="A3" s="17"/>
      <c r="B3" s="53" t="s">
        <v>242</v>
      </c>
      <c r="C3" s="53"/>
      <c r="D3" s="53"/>
      <c r="E3" s="53"/>
      <c r="F3" s="53"/>
      <c r="G3" s="53"/>
    </row>
    <row r="4" spans="1:7" ht="20.25" customHeight="1">
      <c r="A4" s="17"/>
      <c r="B4" s="53"/>
      <c r="C4" s="53"/>
      <c r="D4" s="53"/>
      <c r="E4" s="53"/>
      <c r="F4" s="53"/>
      <c r="G4" s="53"/>
    </row>
    <row r="6" spans="1:21" s="22" customFormat="1" ht="98.25" customHeight="1">
      <c r="A6" s="24"/>
      <c r="B6" s="20" t="s">
        <v>22</v>
      </c>
      <c r="C6" s="20" t="s">
        <v>1</v>
      </c>
      <c r="D6" s="20" t="s">
        <v>89</v>
      </c>
      <c r="E6" s="20" t="s">
        <v>81</v>
      </c>
      <c r="F6" s="20" t="s">
        <v>82</v>
      </c>
      <c r="G6" s="20" t="s">
        <v>73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7" ht="32.25" customHeight="1">
      <c r="A7" s="25"/>
      <c r="B7" s="4">
        <v>211</v>
      </c>
      <c r="C7" s="4" t="s">
        <v>215</v>
      </c>
      <c r="D7" s="23">
        <f>E7+F7+G7</f>
        <v>2928.13451</v>
      </c>
      <c r="E7" s="23">
        <v>1325.29267</v>
      </c>
      <c r="F7" s="23">
        <v>1249.97977</v>
      </c>
      <c r="G7" s="23">
        <v>352.86207</v>
      </c>
    </row>
    <row r="8" spans="1:7" ht="32.25" customHeight="1">
      <c r="A8" s="25"/>
      <c r="B8" s="4">
        <v>212</v>
      </c>
      <c r="C8" s="4" t="s">
        <v>16</v>
      </c>
      <c r="D8" s="23">
        <f aca="true" t="shared" si="0" ref="D8:D17">E8+F8+G8</f>
        <v>147.6922</v>
      </c>
      <c r="E8" s="23"/>
      <c r="F8" s="23"/>
      <c r="G8" s="23">
        <v>147.6922</v>
      </c>
    </row>
    <row r="9" spans="1:7" ht="32.25" customHeight="1">
      <c r="A9" s="25"/>
      <c r="B9" s="4">
        <v>213</v>
      </c>
      <c r="C9" s="4" t="s">
        <v>17</v>
      </c>
      <c r="D9" s="23">
        <f t="shared" si="0"/>
        <v>884.29662</v>
      </c>
      <c r="E9" s="23">
        <v>453.25009</v>
      </c>
      <c r="F9" s="23">
        <v>427.49308</v>
      </c>
      <c r="G9" s="23">
        <v>3.55345</v>
      </c>
    </row>
    <row r="10" spans="1:9" ht="32.25" customHeight="1">
      <c r="A10" s="25"/>
      <c r="B10" s="4">
        <v>221</v>
      </c>
      <c r="C10" s="4" t="s">
        <v>18</v>
      </c>
      <c r="D10" s="23">
        <f t="shared" si="0"/>
        <v>43.186</v>
      </c>
      <c r="E10" s="23"/>
      <c r="F10" s="23">
        <v>43.186</v>
      </c>
      <c r="G10" s="23"/>
      <c r="I10" s="16"/>
    </row>
    <row r="11" spans="1:7" ht="32.25" customHeight="1">
      <c r="A11" s="25"/>
      <c r="B11" s="4">
        <v>222</v>
      </c>
      <c r="C11" s="4" t="s">
        <v>19</v>
      </c>
      <c r="D11" s="23">
        <f t="shared" si="0"/>
        <v>5.9078</v>
      </c>
      <c r="E11" s="23"/>
      <c r="F11" s="23">
        <v>5.9078</v>
      </c>
      <c r="G11" s="23"/>
    </row>
    <row r="12" spans="1:7" ht="32.25" customHeight="1">
      <c r="A12" s="25"/>
      <c r="B12" s="4">
        <v>223</v>
      </c>
      <c r="C12" s="4" t="s">
        <v>69</v>
      </c>
      <c r="D12" s="23">
        <f t="shared" si="0"/>
        <v>875.06807</v>
      </c>
      <c r="E12" s="23"/>
      <c r="F12" s="23">
        <v>875.06807</v>
      </c>
      <c r="G12" s="23"/>
    </row>
    <row r="13" spans="1:7" ht="32.25" customHeight="1">
      <c r="A13" s="25"/>
      <c r="B13" s="4">
        <v>225</v>
      </c>
      <c r="C13" s="4" t="s">
        <v>20</v>
      </c>
      <c r="D13" s="23">
        <f t="shared" si="0"/>
        <v>375.85344</v>
      </c>
      <c r="E13" s="23"/>
      <c r="F13" s="23">
        <v>375.85344</v>
      </c>
      <c r="G13" s="23"/>
    </row>
    <row r="14" spans="1:7" ht="32.25" customHeight="1">
      <c r="A14" s="25"/>
      <c r="B14" s="4">
        <v>226</v>
      </c>
      <c r="C14" s="4" t="s">
        <v>21</v>
      </c>
      <c r="D14" s="23">
        <f t="shared" si="0"/>
        <v>285.81104</v>
      </c>
      <c r="E14" s="23"/>
      <c r="F14" s="23">
        <v>285.81104</v>
      </c>
      <c r="G14" s="23"/>
    </row>
    <row r="15" spans="1:7" ht="32.25" customHeight="1">
      <c r="A15" s="25"/>
      <c r="B15" s="4">
        <v>290</v>
      </c>
      <c r="C15" s="4" t="s">
        <v>71</v>
      </c>
      <c r="D15" s="23">
        <f t="shared" si="0"/>
        <v>47.65308</v>
      </c>
      <c r="E15" s="23"/>
      <c r="F15" s="23"/>
      <c r="G15" s="23">
        <v>47.65308</v>
      </c>
    </row>
    <row r="16" spans="1:7" ht="32.25" customHeight="1">
      <c r="A16" s="25"/>
      <c r="B16" s="4">
        <v>310</v>
      </c>
      <c r="C16" s="4" t="s">
        <v>80</v>
      </c>
      <c r="D16" s="23">
        <f t="shared" si="0"/>
        <v>132.47813</v>
      </c>
      <c r="E16" s="23"/>
      <c r="F16" s="23"/>
      <c r="G16" s="23">
        <v>132.47813</v>
      </c>
    </row>
    <row r="17" spans="1:7" ht="45.75" customHeight="1">
      <c r="A17" s="25"/>
      <c r="B17" s="4">
        <v>340</v>
      </c>
      <c r="C17" s="4" t="s">
        <v>72</v>
      </c>
      <c r="D17" s="23">
        <f t="shared" si="0"/>
        <v>73.46658</v>
      </c>
      <c r="E17" s="23"/>
      <c r="F17" s="23">
        <f>9.649+63.81758</f>
        <v>73.46658</v>
      </c>
      <c r="G17" s="23"/>
    </row>
    <row r="18" spans="1:7" ht="30.75" customHeight="1">
      <c r="A18" s="25"/>
      <c r="B18" s="52" t="s">
        <v>70</v>
      </c>
      <c r="C18" s="52"/>
      <c r="D18" s="23">
        <f>SUM(D7:D17)</f>
        <v>5799.54747</v>
      </c>
      <c r="E18" s="23">
        <f>SUM(E7:E17)</f>
        <v>1778.54276</v>
      </c>
      <c r="F18" s="23">
        <f>SUM(F7:F17)</f>
        <v>3336.7657799999997</v>
      </c>
      <c r="G18" s="23">
        <f>SUM(G7:G17)</f>
        <v>684.23893</v>
      </c>
    </row>
    <row r="19" ht="29.25" customHeight="1">
      <c r="A19" s="10"/>
    </row>
    <row r="20" spans="1:7" ht="24" customHeight="1">
      <c r="A20" s="51"/>
      <c r="B20" s="52" t="s">
        <v>90</v>
      </c>
      <c r="C20" s="9" t="s">
        <v>88</v>
      </c>
      <c r="D20" s="52">
        <v>1.88</v>
      </c>
      <c r="E20" s="26"/>
      <c r="F20" s="29"/>
      <c r="G20" s="25"/>
    </row>
    <row r="21" spans="1:7" ht="30" customHeight="1">
      <c r="A21" s="51"/>
      <c r="B21" s="52"/>
      <c r="C21" s="9" t="s">
        <v>83</v>
      </c>
      <c r="D21" s="52"/>
      <c r="E21" s="26">
        <v>1.81</v>
      </c>
      <c r="F21" s="25"/>
      <c r="G21" s="25"/>
    </row>
    <row r="22" ht="29.25" customHeight="1">
      <c r="A22" s="10"/>
    </row>
    <row r="23" spans="1:10" ht="18.75" customHeight="1">
      <c r="A23" s="50"/>
      <c r="B23" s="50"/>
      <c r="C23" s="50"/>
      <c r="D23" s="11"/>
      <c r="E23" s="51"/>
      <c r="F23" s="51"/>
      <c r="G23" s="51"/>
      <c r="H23" s="10"/>
      <c r="I23" s="10"/>
      <c r="J23" s="10"/>
    </row>
    <row r="24" spans="1:10" ht="29.25" customHeight="1">
      <c r="A24" s="10"/>
      <c r="B24" s="10"/>
      <c r="C24" s="10"/>
      <c r="D24" s="10"/>
      <c r="E24" s="51"/>
      <c r="F24" s="51"/>
      <c r="G24" s="51"/>
      <c r="H24" s="10"/>
      <c r="I24" s="10"/>
      <c r="J24" s="10"/>
    </row>
    <row r="25" spans="1:10" ht="29.25" customHeight="1">
      <c r="A25" s="10"/>
      <c r="B25" s="10"/>
      <c r="C25" s="10"/>
      <c r="D25" s="12"/>
      <c r="E25" s="51"/>
      <c r="F25" s="51"/>
      <c r="G25" s="51"/>
      <c r="H25" s="10"/>
      <c r="I25" s="10"/>
      <c r="J25" s="10"/>
    </row>
    <row r="26" spans="1:10" ht="29.25" customHeight="1">
      <c r="A26" s="10"/>
      <c r="B26" s="10"/>
      <c r="C26" s="10"/>
      <c r="D26" s="12"/>
      <c r="E26" s="51"/>
      <c r="F26" s="51"/>
      <c r="G26" s="51"/>
      <c r="H26" s="10"/>
      <c r="I26" s="10"/>
      <c r="J26" s="10"/>
    </row>
    <row r="27" spans="1:10" ht="29.25" customHeight="1">
      <c r="A27" s="10"/>
      <c r="B27" s="10"/>
      <c r="C27" s="10"/>
      <c r="D27" s="12"/>
      <c r="E27" s="51"/>
      <c r="F27" s="51"/>
      <c r="G27" s="51"/>
      <c r="H27" s="10"/>
      <c r="I27" s="10"/>
      <c r="J27" s="10"/>
    </row>
    <row r="28" spans="1:10" ht="27.75" customHeight="1">
      <c r="A28" s="10"/>
      <c r="B28" s="10"/>
      <c r="C28" s="10"/>
      <c r="D28" s="10"/>
      <c r="E28" s="50"/>
      <c r="F28" s="50"/>
      <c r="G28" s="50"/>
      <c r="H28" s="10"/>
      <c r="I28" s="10"/>
      <c r="J28" s="10"/>
    </row>
    <row r="29" spans="1:10" ht="18.75" customHeight="1">
      <c r="A29" s="10"/>
      <c r="B29" s="10"/>
      <c r="C29" s="10"/>
      <c r="D29" s="10"/>
      <c r="E29" s="51"/>
      <c r="F29" s="51"/>
      <c r="G29" s="51"/>
      <c r="H29" s="10"/>
      <c r="I29" s="10"/>
      <c r="J29" s="10"/>
    </row>
    <row r="30" spans="1:10" ht="40.5" customHeight="1">
      <c r="A30" s="10"/>
      <c r="B30" s="10"/>
      <c r="C30" s="10"/>
      <c r="D30" s="10"/>
      <c r="E30" s="51"/>
      <c r="F30" s="51"/>
      <c r="G30" s="51"/>
      <c r="H30" s="10"/>
      <c r="I30" s="10"/>
      <c r="J30" s="10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</sheetData>
  <sheetProtection/>
  <mergeCells count="17">
    <mergeCell ref="F1:G1"/>
    <mergeCell ref="E30:G30"/>
    <mergeCell ref="E28:G28"/>
    <mergeCell ref="E23:G23"/>
    <mergeCell ref="E24:G24"/>
    <mergeCell ref="E25:G25"/>
    <mergeCell ref="E26:G26"/>
    <mergeCell ref="E29:G29"/>
    <mergeCell ref="E27:G27"/>
    <mergeCell ref="A23:C23"/>
    <mergeCell ref="A20:A21"/>
    <mergeCell ref="B18:C18"/>
    <mergeCell ref="B3:G3"/>
    <mergeCell ref="B2:G2"/>
    <mergeCell ref="B4:G4"/>
    <mergeCell ref="D20:D21"/>
    <mergeCell ref="B20:B21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J23"/>
  <sheetViews>
    <sheetView zoomScalePageLayoutView="0" workbookViewId="0" topLeftCell="B1">
      <selection activeCell="B9" sqref="B9:B23"/>
    </sheetView>
  </sheetViews>
  <sheetFormatPr defaultColWidth="9.00390625" defaultRowHeight="12.75"/>
  <cols>
    <col min="1" max="1" width="9.25390625" style="1" customWidth="1"/>
    <col min="2" max="2" width="21.75390625" style="1" customWidth="1"/>
    <col min="3" max="33" width="9.25390625" style="1" customWidth="1"/>
  </cols>
  <sheetData>
    <row r="8" spans="3:10" ht="127.5">
      <c r="C8" s="7" t="s">
        <v>59</v>
      </c>
      <c r="D8" s="7" t="s">
        <v>60</v>
      </c>
      <c r="E8" s="7" t="s">
        <v>67</v>
      </c>
      <c r="F8" s="7" t="s">
        <v>65</v>
      </c>
      <c r="G8" s="7" t="s">
        <v>61</v>
      </c>
      <c r="H8" s="7" t="s">
        <v>63</v>
      </c>
      <c r="I8" s="7" t="s">
        <v>64</v>
      </c>
      <c r="J8" s="7" t="s">
        <v>66</v>
      </c>
    </row>
    <row r="9" ht="12.75">
      <c r="B9" s="4" t="s">
        <v>74</v>
      </c>
    </row>
    <row r="10" ht="25.5">
      <c r="B10" s="4" t="s">
        <v>15</v>
      </c>
    </row>
    <row r="11" ht="25.5">
      <c r="B11" s="4" t="s">
        <v>17</v>
      </c>
    </row>
    <row r="12" ht="12.75">
      <c r="B12" s="4" t="s">
        <v>76</v>
      </c>
    </row>
    <row r="13" ht="12.75">
      <c r="B13" s="4" t="s">
        <v>6</v>
      </c>
    </row>
    <row r="14" ht="12.75">
      <c r="B14" s="4" t="s">
        <v>75</v>
      </c>
    </row>
    <row r="15" ht="25.5">
      <c r="B15" s="4" t="s">
        <v>15</v>
      </c>
    </row>
    <row r="16" ht="25.5">
      <c r="B16" s="4" t="s">
        <v>17</v>
      </c>
    </row>
    <row r="17" ht="12.75">
      <c r="B17" s="4" t="s">
        <v>18</v>
      </c>
    </row>
    <row r="18" ht="12.75">
      <c r="B18" s="4" t="s">
        <v>19</v>
      </c>
    </row>
    <row r="19" ht="12.75">
      <c r="B19" s="4" t="s">
        <v>69</v>
      </c>
    </row>
    <row r="20" ht="25.5">
      <c r="B20" s="4" t="s">
        <v>20</v>
      </c>
    </row>
    <row r="21" ht="12.75">
      <c r="B21" s="4" t="s">
        <v>21</v>
      </c>
    </row>
    <row r="22" ht="38.25">
      <c r="B22" s="4" t="s">
        <v>72</v>
      </c>
    </row>
    <row r="23" ht="12.75">
      <c r="B23" s="4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AH39"/>
  <sheetViews>
    <sheetView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E13" sqref="E13"/>
    </sheetView>
  </sheetViews>
  <sheetFormatPr defaultColWidth="9.00390625" defaultRowHeight="12.75"/>
  <cols>
    <col min="1" max="1" width="9.25390625" style="1" customWidth="1"/>
    <col min="2" max="2" width="21.75390625" style="1" customWidth="1"/>
    <col min="3" max="3" width="14.375" style="1" customWidth="1"/>
    <col min="4" max="17" width="9.25390625" style="1" customWidth="1"/>
    <col min="18" max="18" width="12.375" style="1" customWidth="1"/>
    <col min="19" max="34" width="9.25390625" style="1" customWidth="1"/>
  </cols>
  <sheetData>
    <row r="8" spans="1:34" s="22" customFormat="1" ht="180">
      <c r="A8" s="21"/>
      <c r="B8" s="21"/>
      <c r="C8" s="28" t="s">
        <v>77</v>
      </c>
      <c r="D8" s="27" t="s">
        <v>56</v>
      </c>
      <c r="E8" s="27" t="s">
        <v>28</v>
      </c>
      <c r="F8" s="27" t="s">
        <v>29</v>
      </c>
      <c r="G8" s="27" t="s">
        <v>30</v>
      </c>
      <c r="H8" s="27" t="s">
        <v>25</v>
      </c>
      <c r="I8" s="27" t="s">
        <v>26</v>
      </c>
      <c r="J8" s="27" t="s">
        <v>31</v>
      </c>
      <c r="K8" s="27" t="s">
        <v>57</v>
      </c>
      <c r="L8" s="27" t="s">
        <v>32</v>
      </c>
      <c r="M8" s="27" t="s">
        <v>33</v>
      </c>
      <c r="N8" s="27" t="s">
        <v>55</v>
      </c>
      <c r="O8" s="27" t="s">
        <v>34</v>
      </c>
      <c r="P8" s="27" t="s">
        <v>35</v>
      </c>
      <c r="Q8" s="27" t="s">
        <v>27</v>
      </c>
      <c r="R8" s="28" t="s">
        <v>78</v>
      </c>
      <c r="S8" s="27" t="s">
        <v>36</v>
      </c>
      <c r="T8" s="27" t="s">
        <v>37</v>
      </c>
      <c r="U8" s="27" t="s">
        <v>38</v>
      </c>
      <c r="V8" s="27" t="s">
        <v>39</v>
      </c>
      <c r="W8" s="27" t="s">
        <v>40</v>
      </c>
      <c r="X8" s="27" t="s">
        <v>41</v>
      </c>
      <c r="Y8" s="27" t="s">
        <v>45</v>
      </c>
      <c r="Z8" s="27" t="s">
        <v>42</v>
      </c>
      <c r="AA8" s="27" t="s">
        <v>43</v>
      </c>
      <c r="AB8" s="27" t="s">
        <v>44</v>
      </c>
      <c r="AC8" s="27" t="s">
        <v>46</v>
      </c>
      <c r="AD8" s="27" t="s">
        <v>47</v>
      </c>
      <c r="AE8" s="27" t="s">
        <v>58</v>
      </c>
      <c r="AF8" s="21"/>
      <c r="AG8" s="21"/>
      <c r="AH8" s="21"/>
    </row>
    <row r="9" spans="2:3" ht="12.75">
      <c r="B9" s="4" t="s">
        <v>74</v>
      </c>
      <c r="C9" s="10"/>
    </row>
    <row r="10" spans="2:3" ht="25.5">
      <c r="B10" s="4" t="s">
        <v>15</v>
      </c>
      <c r="C10" s="10"/>
    </row>
    <row r="11" spans="2:22" ht="25.5">
      <c r="B11" s="4" t="s">
        <v>17</v>
      </c>
      <c r="C11" s="10"/>
      <c r="V11" s="7"/>
    </row>
    <row r="12" spans="2:22" ht="12.75">
      <c r="B12" s="4" t="s">
        <v>76</v>
      </c>
      <c r="C12" s="10"/>
      <c r="V12" s="7"/>
    </row>
    <row r="13" spans="2:3" ht="12.75">
      <c r="B13" s="4" t="s">
        <v>6</v>
      </c>
      <c r="C13" s="10"/>
    </row>
    <row r="14" spans="2:22" ht="12.75">
      <c r="B14" s="4" t="s">
        <v>75</v>
      </c>
      <c r="C14" s="10"/>
      <c r="V14" s="7"/>
    </row>
    <row r="15" spans="2:22" ht="25.5">
      <c r="B15" s="4" t="s">
        <v>15</v>
      </c>
      <c r="C15" s="10"/>
      <c r="V15" s="7"/>
    </row>
    <row r="16" spans="2:3" ht="25.5">
      <c r="B16" s="4" t="s">
        <v>17</v>
      </c>
      <c r="C16" s="10"/>
    </row>
    <row r="17" spans="2:22" ht="12.75">
      <c r="B17" s="4" t="s">
        <v>18</v>
      </c>
      <c r="C17" s="10"/>
      <c r="V17" s="7"/>
    </row>
    <row r="18" spans="2:22" ht="12.75">
      <c r="B18" s="4" t="s">
        <v>19</v>
      </c>
      <c r="C18" s="10"/>
      <c r="V18" s="7"/>
    </row>
    <row r="19" spans="2:3" ht="12.75">
      <c r="B19" s="4" t="s">
        <v>69</v>
      </c>
      <c r="C19" s="10"/>
    </row>
    <row r="20" spans="2:22" ht="25.5">
      <c r="B20" s="4" t="s">
        <v>20</v>
      </c>
      <c r="C20" s="10"/>
      <c r="V20" s="7"/>
    </row>
    <row r="21" spans="2:22" ht="12.75">
      <c r="B21" s="4" t="s">
        <v>21</v>
      </c>
      <c r="C21" s="10"/>
      <c r="V21" s="7"/>
    </row>
    <row r="22" spans="2:3" ht="38.25">
      <c r="B22" s="4" t="s">
        <v>72</v>
      </c>
      <c r="C22" s="10"/>
    </row>
    <row r="23" spans="2:22" ht="12.75">
      <c r="B23" s="4" t="s">
        <v>6</v>
      </c>
      <c r="C23" s="10"/>
      <c r="V23" s="7"/>
    </row>
    <row r="24" ht="12.75">
      <c r="V24" s="7"/>
    </row>
    <row r="29" ht="12.75">
      <c r="V29" s="7"/>
    </row>
    <row r="30" ht="12.75">
      <c r="V30" s="7"/>
    </row>
    <row r="32" ht="12.75">
      <c r="V32" s="7"/>
    </row>
    <row r="33" ht="12.75">
      <c r="V33" s="7"/>
    </row>
    <row r="35" ht="12.75">
      <c r="V35" s="7"/>
    </row>
    <row r="36" ht="12.75">
      <c r="V36" s="7"/>
    </row>
    <row r="38" ht="12.75">
      <c r="V38" s="7"/>
    </row>
    <row r="39" ht="12.75">
      <c r="V39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A31"/>
  <sheetViews>
    <sheetView view="pageBreakPreview" zoomScaleNormal="120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6.25390625" style="1" customWidth="1"/>
    <col min="2" max="2" width="43.00390625" style="1" customWidth="1"/>
    <col min="3" max="3" width="23.25390625" style="1" customWidth="1"/>
    <col min="4" max="4" width="13.625" style="1" customWidth="1"/>
    <col min="5" max="5" width="9.75390625" style="1" bestFit="1" customWidth="1"/>
    <col min="6" max="26" width="9.25390625" style="1" customWidth="1"/>
  </cols>
  <sheetData>
    <row r="1" spans="3:4" ht="90" customHeight="1">
      <c r="C1" s="41" t="s">
        <v>243</v>
      </c>
      <c r="D1" s="41"/>
    </row>
    <row r="2" spans="1:4" ht="12.75">
      <c r="A2" s="54" t="s">
        <v>11</v>
      </c>
      <c r="B2" s="54"/>
      <c r="C2" s="54"/>
      <c r="D2" s="54"/>
    </row>
    <row r="3" spans="1:4" ht="40.5" customHeight="1">
      <c r="A3" s="54" t="s">
        <v>91</v>
      </c>
      <c r="B3" s="54"/>
      <c r="C3" s="54"/>
      <c r="D3" s="54"/>
    </row>
    <row r="4" spans="1:4" ht="12.75">
      <c r="A4" s="54"/>
      <c r="B4" s="54"/>
      <c r="C4" s="54"/>
      <c r="D4" s="54"/>
    </row>
    <row r="5" spans="1:4" ht="12.75" customHeight="1">
      <c r="A5" s="54" t="s">
        <v>244</v>
      </c>
      <c r="B5" s="54"/>
      <c r="C5" s="54"/>
      <c r="D5" s="54"/>
    </row>
    <row r="6" spans="1:4" ht="12.75" customHeight="1">
      <c r="A6" s="46" t="s">
        <v>217</v>
      </c>
      <c r="B6" s="54"/>
      <c r="C6" s="54"/>
      <c r="D6" s="54"/>
    </row>
    <row r="8" spans="1:4" ht="39" customHeight="1">
      <c r="A8" s="4" t="s">
        <v>0</v>
      </c>
      <c r="B8" s="4" t="s">
        <v>1</v>
      </c>
      <c r="C8" s="4" t="s">
        <v>13</v>
      </c>
      <c r="D8" s="4" t="s">
        <v>2</v>
      </c>
    </row>
    <row r="9" spans="1:4" ht="12.75">
      <c r="A9" s="4">
        <v>1</v>
      </c>
      <c r="B9" s="4" t="s">
        <v>3</v>
      </c>
      <c r="C9" s="4"/>
      <c r="D9" s="14">
        <f>SUM(D10:D15)</f>
        <v>786.8582261340555</v>
      </c>
    </row>
    <row r="10" spans="1:4" ht="25.5">
      <c r="A10" s="4"/>
      <c r="B10" s="7" t="s">
        <v>84</v>
      </c>
      <c r="C10" s="4" t="s">
        <v>218</v>
      </c>
      <c r="D10" s="14">
        <f>15136.16*1.1*1.7/(1772.4/12)</f>
        <v>191.6358781313473</v>
      </c>
    </row>
    <row r="11" spans="1:4" ht="12.75">
      <c r="A11" s="4"/>
      <c r="B11" s="7" t="s">
        <v>85</v>
      </c>
      <c r="C11" s="4" t="s">
        <v>219</v>
      </c>
      <c r="D11" s="14">
        <f>9608.56*1.1*2.2/(1772.4/12)</f>
        <v>157.43205958023023</v>
      </c>
    </row>
    <row r="12" spans="1:4" ht="12.75">
      <c r="A12" s="4"/>
      <c r="B12" s="7" t="s">
        <v>85</v>
      </c>
      <c r="C12" s="4" t="s">
        <v>219</v>
      </c>
      <c r="D12" s="14">
        <f>9608.56*1.1*2.2/(1772.4/12)</f>
        <v>157.43205958023023</v>
      </c>
    </row>
    <row r="13" spans="1:4" ht="12.75">
      <c r="A13" s="4"/>
      <c r="B13" s="7" t="s">
        <v>85</v>
      </c>
      <c r="C13" s="4" t="s">
        <v>219</v>
      </c>
      <c r="D13" s="14">
        <f>9608.56*1.1*2.2/(1772.4/12)</f>
        <v>157.43205958023023</v>
      </c>
    </row>
    <row r="14" spans="1:4" ht="12.75">
      <c r="A14" s="4"/>
      <c r="B14" s="7" t="s">
        <v>86</v>
      </c>
      <c r="C14" s="4" t="s">
        <v>220</v>
      </c>
      <c r="D14" s="14">
        <f>5209.36*1.1*2.2/(1772.4/12)</f>
        <v>85.35308869329722</v>
      </c>
    </row>
    <row r="15" spans="1:4" ht="12.75">
      <c r="A15" s="4"/>
      <c r="B15" s="7" t="s">
        <v>87</v>
      </c>
      <c r="C15" s="4" t="s">
        <v>221</v>
      </c>
      <c r="D15" s="14">
        <f>2293.2*1.1*2.2/(1772.4/12)</f>
        <v>37.57308056872038</v>
      </c>
    </row>
    <row r="16" spans="1:6" ht="12.75">
      <c r="A16" s="4">
        <v>2</v>
      </c>
      <c r="B16" s="4" t="s">
        <v>12</v>
      </c>
      <c r="C16" s="13">
        <v>0.302</v>
      </c>
      <c r="D16" s="14">
        <f>D9*C16</f>
        <v>237.63118429248476</v>
      </c>
      <c r="F16" s="2"/>
    </row>
    <row r="17" spans="1:4" ht="12.75">
      <c r="A17" s="4">
        <v>3</v>
      </c>
      <c r="B17" s="4" t="s">
        <v>4</v>
      </c>
      <c r="C17" s="4"/>
      <c r="D17" s="14">
        <f>SUM(D18:D18)</f>
        <v>800</v>
      </c>
    </row>
    <row r="18" spans="1:4" ht="12.75">
      <c r="A18" s="4"/>
      <c r="B18" s="7" t="s">
        <v>52</v>
      </c>
      <c r="C18" s="4"/>
      <c r="D18" s="14">
        <v>800</v>
      </c>
    </row>
    <row r="19" spans="1:4" ht="12.75">
      <c r="A19" s="4">
        <v>4</v>
      </c>
      <c r="B19" s="4" t="s">
        <v>5</v>
      </c>
      <c r="C19" s="4"/>
      <c r="D19" s="14">
        <v>1825</v>
      </c>
    </row>
    <row r="20" spans="1:4" ht="12.75">
      <c r="A20" s="4">
        <v>5</v>
      </c>
      <c r="B20" s="4" t="s">
        <v>14</v>
      </c>
      <c r="C20" s="4">
        <v>1.81</v>
      </c>
      <c r="D20" s="14">
        <f>D19*C20</f>
        <v>3303.25</v>
      </c>
    </row>
    <row r="21" spans="1:4" ht="12.75">
      <c r="A21" s="4">
        <v>6</v>
      </c>
      <c r="B21" s="4" t="s">
        <v>6</v>
      </c>
      <c r="C21" s="4"/>
      <c r="D21" s="14">
        <f>D19+D20</f>
        <v>5128.25</v>
      </c>
    </row>
    <row r="22" spans="1:4" ht="12.75">
      <c r="A22" s="4">
        <v>7</v>
      </c>
      <c r="B22" s="4" t="s">
        <v>49</v>
      </c>
      <c r="C22" s="15">
        <v>0.17</v>
      </c>
      <c r="D22" s="14">
        <f>D21*C22</f>
        <v>871.8025</v>
      </c>
    </row>
    <row r="23" spans="1:4" ht="12.75">
      <c r="A23" s="4">
        <v>8</v>
      </c>
      <c r="B23" s="4" t="s">
        <v>8</v>
      </c>
      <c r="C23" s="4"/>
      <c r="D23" s="14">
        <f>D21+D22</f>
        <v>6000.0525</v>
      </c>
    </row>
    <row r="25" spans="1:4" ht="12.75">
      <c r="A25" s="55" t="s">
        <v>222</v>
      </c>
      <c r="B25" s="55"/>
      <c r="C25" s="55"/>
      <c r="D25" s="55"/>
    </row>
    <row r="26" spans="1:4" ht="12.75">
      <c r="A26" s="41"/>
      <c r="B26" s="41"/>
      <c r="C26" s="41"/>
      <c r="D26" s="41"/>
    </row>
    <row r="27" ht="13.5" customHeight="1"/>
    <row r="28" spans="1:27" ht="12.75">
      <c r="A28" s="41"/>
      <c r="B28" s="41"/>
      <c r="C28" s="3"/>
      <c r="D28" s="3"/>
      <c r="AA28" s="1"/>
    </row>
    <row r="29" ht="12.75">
      <c r="AA29" s="1"/>
    </row>
    <row r="30" ht="12.75">
      <c r="AA30" s="1"/>
    </row>
    <row r="31" spans="1:27" ht="12.75" customHeight="1">
      <c r="A31" s="41"/>
      <c r="B31" s="41"/>
      <c r="C31" s="41"/>
      <c r="AA31" s="1"/>
    </row>
  </sheetData>
  <sheetProtection/>
  <mergeCells count="10">
    <mergeCell ref="C1:D1"/>
    <mergeCell ref="A2:D2"/>
    <mergeCell ref="A28:B28"/>
    <mergeCell ref="A3:D3"/>
    <mergeCell ref="A5:D5"/>
    <mergeCell ref="A31:C31"/>
    <mergeCell ref="A25:D25"/>
    <mergeCell ref="A26:D26"/>
    <mergeCell ref="A4:D4"/>
    <mergeCell ref="A6:D6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6"/>
  <sheetViews>
    <sheetView view="pageBreakPreview" zoomScale="89" zoomScaleNormal="120" zoomScaleSheetLayoutView="89" zoomScalePageLayoutView="0" workbookViewId="0" topLeftCell="A1">
      <selection activeCell="A5" sqref="A5:D5"/>
    </sheetView>
  </sheetViews>
  <sheetFormatPr defaultColWidth="9.00390625" defaultRowHeight="12.75"/>
  <cols>
    <col min="1" max="1" width="9.25390625" style="1" customWidth="1"/>
    <col min="2" max="2" width="38.625" style="1" customWidth="1"/>
    <col min="3" max="3" width="22.75390625" style="1" customWidth="1"/>
    <col min="4" max="4" width="13.625" style="1" customWidth="1"/>
    <col min="5" max="6" width="12.375" style="1" bestFit="1" customWidth="1"/>
    <col min="7" max="26" width="9.25390625" style="1" customWidth="1"/>
  </cols>
  <sheetData>
    <row r="1" spans="3:4" ht="79.5" customHeight="1">
      <c r="C1" s="41" t="s">
        <v>245</v>
      </c>
      <c r="D1" s="41"/>
    </row>
    <row r="2" spans="1:4" ht="23.25" customHeight="1">
      <c r="A2" s="54" t="s">
        <v>11</v>
      </c>
      <c r="B2" s="54"/>
      <c r="C2" s="54"/>
      <c r="D2" s="54"/>
    </row>
    <row r="3" spans="1:4" ht="33" customHeight="1">
      <c r="A3" s="54" t="s">
        <v>92</v>
      </c>
      <c r="B3" s="54"/>
      <c r="C3" s="54"/>
      <c r="D3" s="54"/>
    </row>
    <row r="5" spans="1:4" ht="12.75" customHeight="1">
      <c r="A5" s="54" t="s">
        <v>244</v>
      </c>
      <c r="B5" s="54"/>
      <c r="C5" s="54"/>
      <c r="D5" s="54"/>
    </row>
    <row r="6" spans="1:4" ht="12.75">
      <c r="A6" s="54" t="s">
        <v>179</v>
      </c>
      <c r="B6" s="54"/>
      <c r="C6" s="54"/>
      <c r="D6" s="54"/>
    </row>
    <row r="8" spans="1:4" ht="39" customHeight="1">
      <c r="A8" s="4" t="s">
        <v>0</v>
      </c>
      <c r="B8" s="4" t="s">
        <v>1</v>
      </c>
      <c r="C8" s="4" t="s">
        <v>13</v>
      </c>
      <c r="D8" s="4" t="s">
        <v>48</v>
      </c>
    </row>
    <row r="9" spans="1:4" ht="12.75">
      <c r="A9" s="4">
        <v>1</v>
      </c>
      <c r="B9" s="4" t="s">
        <v>3</v>
      </c>
      <c r="C9" s="4"/>
      <c r="D9" s="14">
        <f>SUM(D10:D15)</f>
        <v>786.8582261340555</v>
      </c>
    </row>
    <row r="10" spans="1:4" ht="25.5">
      <c r="A10" s="4"/>
      <c r="B10" s="7" t="s">
        <v>84</v>
      </c>
      <c r="C10" s="4" t="s">
        <v>225</v>
      </c>
      <c r="D10" s="14">
        <f>15136.16*1.1*1.7/(1772.4/12)</f>
        <v>191.6358781313473</v>
      </c>
    </row>
    <row r="11" spans="1:4" ht="25.5">
      <c r="A11" s="4"/>
      <c r="B11" s="7" t="s">
        <v>85</v>
      </c>
      <c r="C11" s="4" t="s">
        <v>219</v>
      </c>
      <c r="D11" s="14">
        <f>9608.56*1.1*2.2/(1772.4/12)</f>
        <v>157.43205958023023</v>
      </c>
    </row>
    <row r="12" spans="1:4" ht="25.5">
      <c r="A12" s="4"/>
      <c r="B12" s="7" t="s">
        <v>85</v>
      </c>
      <c r="C12" s="4" t="s">
        <v>219</v>
      </c>
      <c r="D12" s="14">
        <f>9608.56*1.1*2.2/(1772.4/12)</f>
        <v>157.43205958023023</v>
      </c>
    </row>
    <row r="13" spans="1:6" ht="25.5">
      <c r="A13" s="4"/>
      <c r="B13" s="7" t="s">
        <v>85</v>
      </c>
      <c r="C13" s="4" t="s">
        <v>219</v>
      </c>
      <c r="D13" s="14">
        <f>9608.56*1.1*2.2/(1772.4/12)</f>
        <v>157.43205958023023</v>
      </c>
      <c r="F13" s="2"/>
    </row>
    <row r="14" spans="1:4" ht="12.75">
      <c r="A14" s="4"/>
      <c r="B14" s="7" t="s">
        <v>86</v>
      </c>
      <c r="C14" s="4" t="s">
        <v>220</v>
      </c>
      <c r="D14" s="14">
        <f>5209.36*1.1*2.2/(1772.4/12)</f>
        <v>85.35308869329722</v>
      </c>
    </row>
    <row r="15" spans="1:4" ht="12.75">
      <c r="A15" s="4"/>
      <c r="B15" s="7" t="s">
        <v>87</v>
      </c>
      <c r="C15" s="4" t="s">
        <v>221</v>
      </c>
      <c r="D15" s="14">
        <f>2293.2*1.1*2.2/(1772.4/12)</f>
        <v>37.57308056872038</v>
      </c>
    </row>
    <row r="16" spans="1:4" ht="12.75" customHeight="1">
      <c r="A16" s="4">
        <v>2</v>
      </c>
      <c r="B16" s="4" t="s">
        <v>12</v>
      </c>
      <c r="C16" s="13">
        <v>0.302</v>
      </c>
      <c r="D16" s="14">
        <f>D9*C16</f>
        <v>237.63118429248476</v>
      </c>
    </row>
    <row r="17" spans="1:4" ht="12.75">
      <c r="A17" s="4">
        <v>3</v>
      </c>
      <c r="B17" s="4" t="s">
        <v>4</v>
      </c>
      <c r="C17" s="4"/>
      <c r="D17" s="4">
        <f>SUM(D18:D20)</f>
        <v>1509</v>
      </c>
    </row>
    <row r="18" spans="1:4" ht="12.75">
      <c r="A18" s="4"/>
      <c r="B18" s="7" t="s">
        <v>51</v>
      </c>
      <c r="C18" s="4"/>
      <c r="D18" s="4">
        <v>676</v>
      </c>
    </row>
    <row r="19" spans="1:4" ht="12.75">
      <c r="A19" s="4"/>
      <c r="B19" s="7" t="s">
        <v>52</v>
      </c>
      <c r="C19" s="4"/>
      <c r="D19" s="14">
        <v>500</v>
      </c>
    </row>
    <row r="20" spans="1:4" ht="12.75">
      <c r="A20" s="4"/>
      <c r="B20" s="7" t="s">
        <v>53</v>
      </c>
      <c r="C20" s="4"/>
      <c r="D20" s="14">
        <v>333</v>
      </c>
    </row>
    <row r="21" spans="1:4" ht="12.75" customHeight="1">
      <c r="A21" s="4">
        <v>4</v>
      </c>
      <c r="B21" s="4" t="s">
        <v>5</v>
      </c>
      <c r="C21" s="4"/>
      <c r="D21" s="14">
        <f>D9+D16+D17</f>
        <v>2533.4894104265404</v>
      </c>
    </row>
    <row r="22" spans="1:4" ht="12.75">
      <c r="A22" s="4">
        <v>5</v>
      </c>
      <c r="B22" s="4" t="s">
        <v>14</v>
      </c>
      <c r="C22" s="4">
        <v>1.81</v>
      </c>
      <c r="D22" s="14">
        <f>D9*C22</f>
        <v>1424.2133893026405</v>
      </c>
    </row>
    <row r="23" spans="1:4" ht="12.75">
      <c r="A23" s="4">
        <v>6</v>
      </c>
      <c r="B23" s="4" t="s">
        <v>6</v>
      </c>
      <c r="C23" s="4"/>
      <c r="D23" s="14">
        <f>D21+D22</f>
        <v>3957.7027997291807</v>
      </c>
    </row>
    <row r="24" spans="1:4" ht="12.75">
      <c r="A24" s="4">
        <v>7</v>
      </c>
      <c r="B24" s="4" t="s">
        <v>49</v>
      </c>
      <c r="C24" s="15">
        <v>0.26</v>
      </c>
      <c r="D24" s="14">
        <f>D23*C24</f>
        <v>1029.002727929587</v>
      </c>
    </row>
    <row r="25" spans="1:4" ht="12.75" customHeight="1">
      <c r="A25" s="4">
        <v>8</v>
      </c>
      <c r="B25" s="4" t="s">
        <v>216</v>
      </c>
      <c r="C25" s="4"/>
      <c r="D25" s="14">
        <f>D23+D24</f>
        <v>4986.705527658768</v>
      </c>
    </row>
    <row r="26" spans="1:4" ht="12.75" hidden="1">
      <c r="A26" s="4"/>
      <c r="B26" s="4" t="s">
        <v>62</v>
      </c>
      <c r="C26" s="4"/>
      <c r="D26" s="14">
        <f>D25</f>
        <v>4986.705527658768</v>
      </c>
    </row>
    <row r="28" spans="1:4" ht="12.75" customHeight="1">
      <c r="A28" s="41"/>
      <c r="B28" s="41"/>
      <c r="C28" s="41"/>
      <c r="D28" s="41"/>
    </row>
    <row r="29" spans="1:4" ht="12.75" customHeight="1">
      <c r="A29" s="41" t="s">
        <v>227</v>
      </c>
      <c r="B29" s="41"/>
      <c r="C29" s="41"/>
      <c r="D29" s="41"/>
    </row>
    <row r="30" spans="1:4" ht="12.75">
      <c r="A30" s="41" t="s">
        <v>226</v>
      </c>
      <c r="B30" s="41"/>
      <c r="C30" s="41"/>
      <c r="D30" s="41"/>
    </row>
    <row r="31" spans="1:4" ht="12.75">
      <c r="A31" s="3"/>
      <c r="B31" s="3"/>
      <c r="C31" s="3"/>
      <c r="D31" s="3"/>
    </row>
    <row r="33" spans="1:27" ht="12.75">
      <c r="A33" s="41"/>
      <c r="B33" s="41"/>
      <c r="C33" s="3"/>
      <c r="D33" s="3"/>
      <c r="AA33" s="1"/>
    </row>
    <row r="34" ht="12.75">
      <c r="AA34" s="1"/>
    </row>
    <row r="35" ht="12.75">
      <c r="AA35" s="1"/>
    </row>
    <row r="36" spans="1:27" ht="12.75" customHeight="1">
      <c r="A36" s="41"/>
      <c r="B36" s="41"/>
      <c r="C36" s="41"/>
      <c r="AA36" s="1"/>
    </row>
  </sheetData>
  <sheetProtection/>
  <mergeCells count="10">
    <mergeCell ref="C1:D1"/>
    <mergeCell ref="A33:B33"/>
    <mergeCell ref="A30:D30"/>
    <mergeCell ref="A6:D6"/>
    <mergeCell ref="A36:C36"/>
    <mergeCell ref="A29:D29"/>
    <mergeCell ref="A28:D28"/>
    <mergeCell ref="A3:D3"/>
    <mergeCell ref="A2:D2"/>
    <mergeCell ref="A5:D5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9"/>
  <sheetViews>
    <sheetView view="pageBreakPreview" zoomScaleNormal="120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6.25390625" style="1" customWidth="1"/>
    <col min="2" max="2" width="43.00390625" style="1" customWidth="1"/>
    <col min="3" max="3" width="23.25390625" style="1" customWidth="1"/>
    <col min="4" max="4" width="13.625" style="1" customWidth="1"/>
    <col min="5" max="5" width="14.25390625" style="1" customWidth="1"/>
    <col min="6" max="6" width="9.75390625" style="1" bestFit="1" customWidth="1"/>
    <col min="7" max="27" width="9.25390625" style="1" customWidth="1"/>
  </cols>
  <sheetData>
    <row r="1" spans="4:5" ht="95.25" customHeight="1">
      <c r="D1" s="41" t="s">
        <v>246</v>
      </c>
      <c r="E1" s="41"/>
    </row>
    <row r="2" spans="1:4" ht="12.75">
      <c r="A2" s="54" t="s">
        <v>11</v>
      </c>
      <c r="B2" s="54"/>
      <c r="C2" s="54"/>
      <c r="D2" s="54"/>
    </row>
    <row r="3" spans="1:4" ht="12.75">
      <c r="A3" s="54" t="s">
        <v>177</v>
      </c>
      <c r="B3" s="54"/>
      <c r="C3" s="54"/>
      <c r="D3" s="54"/>
    </row>
    <row r="4" spans="1:4" ht="12.75">
      <c r="A4" s="54"/>
      <c r="B4" s="54"/>
      <c r="C4" s="54"/>
      <c r="D4" s="54"/>
    </row>
    <row r="5" spans="1:5" ht="12.75" customHeight="1">
      <c r="A5" s="54" t="s">
        <v>244</v>
      </c>
      <c r="B5" s="54"/>
      <c r="C5" s="54"/>
      <c r="D5" s="54"/>
      <c r="E5" s="54"/>
    </row>
    <row r="6" ht="12.75">
      <c r="E6" s="1" t="s">
        <v>9</v>
      </c>
    </row>
    <row r="7" spans="1:4" ht="39" customHeight="1">
      <c r="A7" s="4" t="s">
        <v>0</v>
      </c>
      <c r="B7" s="4" t="s">
        <v>1</v>
      </c>
      <c r="C7" s="4" t="s">
        <v>13</v>
      </c>
      <c r="D7" s="4" t="s">
        <v>2</v>
      </c>
    </row>
    <row r="8" spans="1:4" ht="12.75">
      <c r="A8" s="4">
        <v>1</v>
      </c>
      <c r="B8" s="4" t="s">
        <v>3</v>
      </c>
      <c r="C8" s="4"/>
      <c r="D8" s="14">
        <f>SUM(D9:D13)</f>
        <v>749.2851455653351</v>
      </c>
    </row>
    <row r="9" spans="1:4" ht="25.5">
      <c r="A9" s="4"/>
      <c r="B9" s="7" t="s">
        <v>84</v>
      </c>
      <c r="C9" s="4" t="s">
        <v>218</v>
      </c>
      <c r="D9" s="14">
        <f>15136.16*1.1*1.7/(1772.4/12)</f>
        <v>191.6358781313473</v>
      </c>
    </row>
    <row r="10" spans="1:4" ht="12.75">
      <c r="A10" s="4"/>
      <c r="B10" s="7" t="s">
        <v>85</v>
      </c>
      <c r="C10" s="4" t="s">
        <v>219</v>
      </c>
      <c r="D10" s="14">
        <f>9608.56*1.1*2.2/(1772.4/12)</f>
        <v>157.43205958023023</v>
      </c>
    </row>
    <row r="11" spans="1:4" ht="12.75">
      <c r="A11" s="4"/>
      <c r="B11" s="7" t="s">
        <v>85</v>
      </c>
      <c r="C11" s="4" t="s">
        <v>219</v>
      </c>
      <c r="D11" s="14">
        <f>9608.56*1.1*2.2/(1772.4/12)</f>
        <v>157.43205958023023</v>
      </c>
    </row>
    <row r="12" spans="1:4" ht="12.75">
      <c r="A12" s="4"/>
      <c r="B12" s="7" t="s">
        <v>85</v>
      </c>
      <c r="C12" s="4" t="s">
        <v>219</v>
      </c>
      <c r="D12" s="14">
        <f>9608.56*1.1*2.2/(1772.4/12)</f>
        <v>157.43205958023023</v>
      </c>
    </row>
    <row r="13" spans="1:4" ht="12.75">
      <c r="A13" s="4"/>
      <c r="B13" s="7" t="s">
        <v>86</v>
      </c>
      <c r="C13" s="4" t="s">
        <v>220</v>
      </c>
      <c r="D13" s="14">
        <f>5209.36*1.1*2.2/(1772.4/12)</f>
        <v>85.35308869329722</v>
      </c>
    </row>
    <row r="14" spans="1:28" s="1" customFormat="1" ht="12.75">
      <c r="A14" s="4">
        <v>2</v>
      </c>
      <c r="B14" s="4" t="s">
        <v>12</v>
      </c>
      <c r="C14" s="13">
        <v>0.302</v>
      </c>
      <c r="D14" s="14">
        <f>D8*C14</f>
        <v>226.28411396073122</v>
      </c>
      <c r="G14" s="2"/>
      <c r="AB14"/>
    </row>
    <row r="15" spans="1:28" s="1" customFormat="1" ht="12.75">
      <c r="A15" s="4">
        <v>3</v>
      </c>
      <c r="B15" s="4" t="s">
        <v>4</v>
      </c>
      <c r="C15" s="4"/>
      <c r="D15" s="14">
        <f>SUM(D16:D17)</f>
        <v>1630</v>
      </c>
      <c r="AB15"/>
    </row>
    <row r="16" spans="1:28" s="1" customFormat="1" ht="12.75">
      <c r="A16" s="4"/>
      <c r="B16" s="7" t="s">
        <v>169</v>
      </c>
      <c r="C16" s="4"/>
      <c r="D16" s="14">
        <v>1500</v>
      </c>
      <c r="AB16"/>
    </row>
    <row r="17" spans="1:28" s="1" customFormat="1" ht="12.75">
      <c r="A17" s="4"/>
      <c r="B17" s="7" t="s">
        <v>54</v>
      </c>
      <c r="C17" s="4"/>
      <c r="D17" s="14">
        <v>130</v>
      </c>
      <c r="AB17"/>
    </row>
    <row r="18" spans="1:28" s="1" customFormat="1" ht="12.75">
      <c r="A18" s="4">
        <v>4</v>
      </c>
      <c r="B18" s="4" t="s">
        <v>5</v>
      </c>
      <c r="C18" s="4"/>
      <c r="D18" s="14">
        <f>D8+D14+D15</f>
        <v>2605.569259526066</v>
      </c>
      <c r="AB18"/>
    </row>
    <row r="19" spans="1:28" s="1" customFormat="1" ht="12.75">
      <c r="A19" s="4">
        <v>5</v>
      </c>
      <c r="B19" s="4" t="s">
        <v>14</v>
      </c>
      <c r="C19" s="4">
        <v>1.81</v>
      </c>
      <c r="D19" s="14">
        <f>D8*C19</f>
        <v>1356.2061134732567</v>
      </c>
      <c r="AB19"/>
    </row>
    <row r="20" spans="1:28" s="1" customFormat="1" ht="12.75">
      <c r="A20" s="4">
        <v>6</v>
      </c>
      <c r="B20" s="4" t="s">
        <v>6</v>
      </c>
      <c r="C20" s="4"/>
      <c r="D20" s="14">
        <f>D18+D19</f>
        <v>3961.775372999323</v>
      </c>
      <c r="AB20"/>
    </row>
    <row r="21" spans="1:28" s="1" customFormat="1" ht="12.75">
      <c r="A21" s="4">
        <v>7</v>
      </c>
      <c r="B21" s="4" t="s">
        <v>49</v>
      </c>
      <c r="C21" s="15">
        <v>0.2</v>
      </c>
      <c r="D21" s="14">
        <f>D20*C21</f>
        <v>792.3550745998646</v>
      </c>
      <c r="AB21"/>
    </row>
    <row r="22" spans="1:28" s="1" customFormat="1" ht="12.75">
      <c r="A22" s="4">
        <v>8</v>
      </c>
      <c r="B22" s="4" t="s">
        <v>8</v>
      </c>
      <c r="C22" s="4"/>
      <c r="D22" s="14">
        <f>D20+D21</f>
        <v>4754.130447599187</v>
      </c>
      <c r="AB22"/>
    </row>
    <row r="24" spans="1:4" ht="12.75" customHeight="1">
      <c r="A24" s="41" t="s">
        <v>228</v>
      </c>
      <c r="B24" s="41"/>
      <c r="C24" s="41"/>
      <c r="D24" s="41"/>
    </row>
    <row r="25" ht="13.5" customHeight="1"/>
    <row r="26" spans="1:28" ht="12.75">
      <c r="A26" s="41"/>
      <c r="B26" s="41"/>
      <c r="C26" s="3"/>
      <c r="D26" s="41"/>
      <c r="E26" s="41"/>
      <c r="AB26" s="1"/>
    </row>
    <row r="27" ht="12.75">
      <c r="AB27" s="1"/>
    </row>
    <row r="28" ht="12.75">
      <c r="AB28" s="1"/>
    </row>
    <row r="29" spans="1:28" ht="12.75" customHeight="1">
      <c r="A29" s="41"/>
      <c r="B29" s="41"/>
      <c r="C29" s="41"/>
      <c r="AB29" s="1"/>
    </row>
  </sheetData>
  <sheetProtection/>
  <mergeCells count="9">
    <mergeCell ref="A29:C29"/>
    <mergeCell ref="D1:E1"/>
    <mergeCell ref="A2:D2"/>
    <mergeCell ref="A3:D3"/>
    <mergeCell ref="A4:D4"/>
    <mergeCell ref="A5:E5"/>
    <mergeCell ref="A24:D24"/>
    <mergeCell ref="A26:B26"/>
    <mergeCell ref="D26:E26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6"/>
  <sheetViews>
    <sheetView view="pageBreakPreview" zoomScale="134" zoomScaleNormal="120" zoomScaleSheetLayoutView="134" zoomScalePageLayoutView="0" workbookViewId="0" topLeftCell="A1">
      <selection activeCell="A4" sqref="A4:E4"/>
    </sheetView>
  </sheetViews>
  <sheetFormatPr defaultColWidth="9.00390625" defaultRowHeight="12.75"/>
  <cols>
    <col min="1" max="1" width="6.625" style="1" customWidth="1"/>
    <col min="2" max="2" width="38.625" style="1" customWidth="1"/>
    <col min="3" max="3" width="20.00390625" style="1" customWidth="1"/>
    <col min="4" max="4" width="13.625" style="1" customWidth="1"/>
    <col min="5" max="5" width="14.25390625" style="1" customWidth="1"/>
    <col min="6" max="27" width="9.25390625" style="1" customWidth="1"/>
  </cols>
  <sheetData>
    <row r="1" spans="4:5" ht="99.75" customHeight="1">
      <c r="D1" s="41" t="s">
        <v>247</v>
      </c>
      <c r="E1" s="41"/>
    </row>
    <row r="2" spans="1:4" ht="12.75">
      <c r="A2" s="54" t="s">
        <v>11</v>
      </c>
      <c r="B2" s="54"/>
      <c r="C2" s="54"/>
      <c r="D2" s="54"/>
    </row>
    <row r="3" spans="1:5" ht="12.75" customHeight="1">
      <c r="A3" s="54" t="s">
        <v>163</v>
      </c>
      <c r="B3" s="54"/>
      <c r="C3" s="54"/>
      <c r="D3" s="54"/>
      <c r="E3" s="54"/>
    </row>
    <row r="4" spans="1:5" ht="12.75" customHeight="1">
      <c r="A4" s="54" t="s">
        <v>244</v>
      </c>
      <c r="B4" s="54"/>
      <c r="C4" s="54"/>
      <c r="D4" s="54"/>
      <c r="E4" s="54"/>
    </row>
    <row r="5" spans="1:4" ht="12.75">
      <c r="A5" s="54"/>
      <c r="B5" s="54"/>
      <c r="C5" s="54"/>
      <c r="D5" s="54"/>
    </row>
    <row r="6" ht="12.75">
      <c r="E6" s="1" t="s">
        <v>9</v>
      </c>
    </row>
    <row r="7" spans="1:4" ht="39" customHeight="1">
      <c r="A7" s="4" t="s">
        <v>0</v>
      </c>
      <c r="B7" s="4" t="s">
        <v>1</v>
      </c>
      <c r="C7" s="4" t="s">
        <v>13</v>
      </c>
      <c r="D7" s="4" t="s">
        <v>2</v>
      </c>
    </row>
    <row r="8" spans="1:4" ht="12.75">
      <c r="A8" s="4">
        <v>1</v>
      </c>
      <c r="B8" s="4" t="s">
        <v>3</v>
      </c>
      <c r="C8" s="4"/>
      <c r="D8" s="14">
        <f>SUM(D9:D9)</f>
        <v>168.91417535545025</v>
      </c>
    </row>
    <row r="9" spans="1:4" ht="25.5">
      <c r="A9" s="4"/>
      <c r="B9" s="7" t="s">
        <v>84</v>
      </c>
      <c r="C9" s="4" t="s">
        <v>218</v>
      </c>
      <c r="D9" s="14">
        <f>13341.51*1.1*1.7/(1772.4/12)</f>
        <v>168.91417535545025</v>
      </c>
    </row>
    <row r="10" spans="1:7" ht="12.75">
      <c r="A10" s="4">
        <v>2</v>
      </c>
      <c r="B10" s="4" t="s">
        <v>12</v>
      </c>
      <c r="C10" s="13">
        <v>0.302</v>
      </c>
      <c r="D10" s="14">
        <f>D8*C10</f>
        <v>51.01208095734597</v>
      </c>
      <c r="G10" s="2"/>
    </row>
    <row r="11" spans="1:4" ht="12.75">
      <c r="A11" s="4">
        <v>3</v>
      </c>
      <c r="B11" s="4" t="s">
        <v>4</v>
      </c>
      <c r="C11" s="4"/>
      <c r="D11" s="14">
        <f>D12</f>
        <v>695</v>
      </c>
    </row>
    <row r="12" spans="1:4" ht="12.75">
      <c r="A12" s="4"/>
      <c r="B12" s="7" t="s">
        <v>79</v>
      </c>
      <c r="C12" s="4"/>
      <c r="D12" s="14">
        <v>695</v>
      </c>
    </row>
    <row r="13" spans="1:4" ht="12.75">
      <c r="A13" s="4">
        <v>4</v>
      </c>
      <c r="B13" s="4" t="s">
        <v>5</v>
      </c>
      <c r="C13" s="4"/>
      <c r="D13" s="14">
        <f>D8+D10+D11</f>
        <v>914.9262563127962</v>
      </c>
    </row>
    <row r="14" spans="1:4" ht="12.75">
      <c r="A14" s="4">
        <v>5</v>
      </c>
      <c r="B14" s="4" t="s">
        <v>14</v>
      </c>
      <c r="C14" s="4">
        <v>1.81</v>
      </c>
      <c r="D14" s="14">
        <f>D8*C14</f>
        <v>305.73465739336496</v>
      </c>
    </row>
    <row r="15" spans="1:4" ht="12.75">
      <c r="A15" s="4">
        <v>6</v>
      </c>
      <c r="B15" s="4" t="s">
        <v>6</v>
      </c>
      <c r="C15" s="4"/>
      <c r="D15" s="14">
        <f>D13+D14</f>
        <v>1220.6609137061612</v>
      </c>
    </row>
    <row r="16" spans="1:4" ht="12.75">
      <c r="A16" s="4">
        <v>7</v>
      </c>
      <c r="B16" s="4" t="s">
        <v>229</v>
      </c>
      <c r="C16" s="15">
        <v>0.23</v>
      </c>
      <c r="D16" s="14">
        <f>D15*C16</f>
        <v>280.7520101524171</v>
      </c>
    </row>
    <row r="17" spans="1:4" ht="25.5">
      <c r="A17" s="4">
        <v>8</v>
      </c>
      <c r="B17" s="4" t="s">
        <v>183</v>
      </c>
      <c r="C17" s="15"/>
      <c r="D17" s="14">
        <v>1013</v>
      </c>
    </row>
    <row r="18" spans="1:4" ht="12.75">
      <c r="A18" s="4">
        <v>8</v>
      </c>
      <c r="B18" s="4" t="s">
        <v>8</v>
      </c>
      <c r="C18" s="4"/>
      <c r="D18" s="14">
        <f>D15+D16+D17</f>
        <v>2514.4129238585783</v>
      </c>
    </row>
    <row r="20" spans="1:4" ht="12.75">
      <c r="A20" s="56" t="s">
        <v>184</v>
      </c>
      <c r="B20" s="56"/>
      <c r="C20" s="56"/>
      <c r="D20" s="56"/>
    </row>
    <row r="21" spans="1:4" ht="12.75">
      <c r="A21" s="41"/>
      <c r="B21" s="41"/>
      <c r="C21" s="41"/>
      <c r="D21" s="41"/>
    </row>
    <row r="23" spans="1:28" ht="12.75">
      <c r="A23" s="41"/>
      <c r="B23" s="41"/>
      <c r="C23" s="3"/>
      <c r="D23" s="41"/>
      <c r="E23" s="41"/>
      <c r="AB23" s="1"/>
    </row>
    <row r="24" ht="12.75">
      <c r="AB24" s="1"/>
    </row>
    <row r="25" ht="12.75">
      <c r="AB25" s="1"/>
    </row>
    <row r="26" spans="1:28" ht="12.75" customHeight="1">
      <c r="A26" s="41"/>
      <c r="B26" s="41"/>
      <c r="C26" s="41"/>
      <c r="AB26" s="1"/>
    </row>
  </sheetData>
  <sheetProtection/>
  <mergeCells count="10">
    <mergeCell ref="A2:D2"/>
    <mergeCell ref="A5:D5"/>
    <mergeCell ref="D1:E1"/>
    <mergeCell ref="D23:E23"/>
    <mergeCell ref="A26:C26"/>
    <mergeCell ref="A4:E4"/>
    <mergeCell ref="A20:D20"/>
    <mergeCell ref="A23:B23"/>
    <mergeCell ref="A3:E3"/>
    <mergeCell ref="A21:D21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5"/>
  <sheetViews>
    <sheetView view="pageBreakPreview" zoomScaleNormal="120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6.625" style="1" customWidth="1"/>
    <col min="2" max="2" width="38.625" style="1" customWidth="1"/>
    <col min="3" max="3" width="20.00390625" style="1" customWidth="1"/>
    <col min="4" max="4" width="13.625" style="1" customWidth="1"/>
    <col min="5" max="26" width="9.25390625" style="1" customWidth="1"/>
  </cols>
  <sheetData>
    <row r="1" spans="3:4" ht="80.25" customHeight="1">
      <c r="C1" s="41" t="s">
        <v>248</v>
      </c>
      <c r="D1" s="41"/>
    </row>
    <row r="2" spans="1:4" ht="12.75">
      <c r="A2" s="54" t="s">
        <v>11</v>
      </c>
      <c r="B2" s="54"/>
      <c r="C2" s="54"/>
      <c r="D2" s="54"/>
    </row>
    <row r="3" spans="1:4" ht="41.25" customHeight="1">
      <c r="A3" s="54" t="s">
        <v>185</v>
      </c>
      <c r="B3" s="54"/>
      <c r="C3" s="54"/>
      <c r="D3" s="54"/>
    </row>
    <row r="4" spans="1:4" ht="12.75" customHeight="1">
      <c r="A4" s="54" t="s">
        <v>244</v>
      </c>
      <c r="B4" s="54"/>
      <c r="C4" s="54"/>
      <c r="D4" s="54"/>
    </row>
    <row r="5" spans="1:4" ht="12.75">
      <c r="A5" s="54"/>
      <c r="B5" s="54"/>
      <c r="C5" s="54"/>
      <c r="D5" s="54"/>
    </row>
    <row r="7" spans="1:4" ht="39" customHeight="1">
      <c r="A7" s="4" t="s">
        <v>0</v>
      </c>
      <c r="B7" s="4" t="s">
        <v>1</v>
      </c>
      <c r="C7" s="4" t="s">
        <v>13</v>
      </c>
      <c r="D7" s="4" t="s">
        <v>2</v>
      </c>
    </row>
    <row r="8" spans="1:4" ht="12.75">
      <c r="A8" s="4">
        <v>1</v>
      </c>
      <c r="B8" s="4" t="s">
        <v>3</v>
      </c>
      <c r="C8" s="4"/>
      <c r="D8" s="14">
        <f>SUM(D9:D9)</f>
        <v>191.6358781313473</v>
      </c>
    </row>
    <row r="9" spans="1:4" ht="25.5">
      <c r="A9" s="4"/>
      <c r="B9" s="7" t="s">
        <v>84</v>
      </c>
      <c r="C9" s="4" t="s">
        <v>218</v>
      </c>
      <c r="D9" s="14">
        <f>15136.16*1.1*1.7/(1772.4/12)</f>
        <v>191.6358781313473</v>
      </c>
    </row>
    <row r="10" spans="1:6" ht="12.75">
      <c r="A10" s="4">
        <v>2</v>
      </c>
      <c r="B10" s="4" t="s">
        <v>12</v>
      </c>
      <c r="C10" s="13">
        <v>0.302</v>
      </c>
      <c r="D10" s="14">
        <f>D8*C10</f>
        <v>57.874035195666885</v>
      </c>
      <c r="F10" s="2"/>
    </row>
    <row r="11" spans="1:4" ht="12.75">
      <c r="A11" s="4">
        <v>3</v>
      </c>
      <c r="B11" s="4" t="s">
        <v>4</v>
      </c>
      <c r="C11" s="4"/>
      <c r="D11" s="14">
        <f>D12</f>
        <v>300</v>
      </c>
    </row>
    <row r="12" spans="1:4" ht="12.75">
      <c r="A12" s="4"/>
      <c r="B12" s="4" t="s">
        <v>169</v>
      </c>
      <c r="C12" s="4"/>
      <c r="D12" s="14">
        <v>300</v>
      </c>
    </row>
    <row r="13" spans="1:4" ht="12.75">
      <c r="A13" s="4">
        <v>4</v>
      </c>
      <c r="B13" s="4" t="s">
        <v>5</v>
      </c>
      <c r="C13" s="4"/>
      <c r="D13" s="14">
        <f>D8+D10+D11</f>
        <v>549.5099133270141</v>
      </c>
    </row>
    <row r="14" spans="1:4" ht="12.75">
      <c r="A14" s="4">
        <v>5</v>
      </c>
      <c r="B14" s="4" t="s">
        <v>14</v>
      </c>
      <c r="C14" s="4">
        <v>1.81</v>
      </c>
      <c r="D14" s="14">
        <f>D8*C14</f>
        <v>346.8609394177386</v>
      </c>
    </row>
    <row r="15" spans="1:4" ht="12.75">
      <c r="A15" s="4">
        <v>6</v>
      </c>
      <c r="B15" s="4" t="s">
        <v>6</v>
      </c>
      <c r="C15" s="4"/>
      <c r="D15" s="14">
        <f>D13+D14</f>
        <v>896.3708527447527</v>
      </c>
    </row>
    <row r="16" spans="1:4" ht="12.75">
      <c r="A16" s="4">
        <v>7</v>
      </c>
      <c r="B16" s="4" t="s">
        <v>7</v>
      </c>
      <c r="C16" s="15">
        <v>0.2</v>
      </c>
      <c r="D16" s="14">
        <f>D15*C16</f>
        <v>179.27417054895056</v>
      </c>
    </row>
    <row r="17" spans="1:4" ht="12.75">
      <c r="A17" s="4">
        <v>8</v>
      </c>
      <c r="B17" s="4" t="s">
        <v>8</v>
      </c>
      <c r="C17" s="4"/>
      <c r="D17" s="14">
        <f>D15+D16</f>
        <v>1075.6450232937032</v>
      </c>
    </row>
    <row r="19" spans="1:4" ht="12.75">
      <c r="A19" s="41" t="s">
        <v>230</v>
      </c>
      <c r="B19" s="41"/>
      <c r="C19" s="41"/>
      <c r="D19" s="41"/>
    </row>
    <row r="20" spans="1:4" ht="12.75">
      <c r="A20" s="41"/>
      <c r="B20" s="41"/>
      <c r="C20" s="41"/>
      <c r="D20" s="41"/>
    </row>
    <row r="22" spans="1:27" ht="12.75">
      <c r="A22" s="41"/>
      <c r="B22" s="41"/>
      <c r="C22" s="3"/>
      <c r="D22" s="3"/>
      <c r="AA22" s="1"/>
    </row>
    <row r="23" ht="12.75">
      <c r="AA23" s="1"/>
    </row>
    <row r="24" ht="12.75">
      <c r="AA24" s="1"/>
    </row>
    <row r="25" spans="1:27" ht="12.75" customHeight="1">
      <c r="A25" s="41"/>
      <c r="B25" s="41"/>
      <c r="C25" s="41"/>
      <c r="AA25" s="1"/>
    </row>
  </sheetData>
  <sheetProtection/>
  <mergeCells count="9">
    <mergeCell ref="C1:D1"/>
    <mergeCell ref="A25:C25"/>
    <mergeCell ref="A4:D4"/>
    <mergeCell ref="A20:D20"/>
    <mergeCell ref="A2:D2"/>
    <mergeCell ref="A5:D5"/>
    <mergeCell ref="A22:B22"/>
    <mergeCell ref="A3:D3"/>
    <mergeCell ref="A19:D19"/>
  </mergeCells>
  <printOptions horizontalCentered="1"/>
  <pageMargins left="0.3937007874015748" right="0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1</cp:lastModifiedBy>
  <cp:lastPrinted>2019-01-17T07:06:36Z</cp:lastPrinted>
  <dcterms:created xsi:type="dcterms:W3CDTF">2009-01-14T05:36:45Z</dcterms:created>
  <dcterms:modified xsi:type="dcterms:W3CDTF">2019-02-13T09:40:10Z</dcterms:modified>
  <cp:category/>
  <cp:version/>
  <cp:contentType/>
  <cp:contentStatus/>
</cp:coreProperties>
</file>